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" yWindow="-13" windowWidth="24067" windowHeight="10118"/>
  </bookViews>
  <sheets>
    <sheet name="統計表" sheetId="4" r:id="rId1"/>
    <sheet name="花東B表" sheetId="6" r:id="rId2"/>
    <sheet name="工作表3" sheetId="5" state="hidden" r:id="rId3"/>
    <sheet name="單價表" sheetId="8" r:id="rId4"/>
    <sheet name="試算表(參考用)" sheetId="1" r:id="rId5"/>
    <sheet name="抬頭" sheetId="2" state="hidden" r:id="rId6"/>
  </sheets>
  <definedNames>
    <definedName name="_xlnm._FilterDatabase" localSheetId="3" hidden="1">單價表!$A$3:$W$54</definedName>
    <definedName name="_xlnm._FilterDatabase" localSheetId="4" hidden="1">'試算表(參考用)'!$A$4:$V$160</definedName>
    <definedName name="_xlnm.Print_Area" localSheetId="0">統計表!$A$1:$V$33</definedName>
    <definedName name="_xlnm.Print_Titles" localSheetId="4">'試算表(參考用)'!$A:$D,'試算表(參考用)'!$1:$4</definedName>
    <definedName name="版本">工作表3!$A$5:$A$12</definedName>
  </definedNames>
  <calcPr calcId="144525"/>
</workbook>
</file>

<file path=xl/calcChain.xml><?xml version="1.0" encoding="utf-8"?>
<calcChain xmlns="http://schemas.openxmlformats.org/spreadsheetml/2006/main">
  <c r="J55" i="4" l="1"/>
  <c r="K43" i="4"/>
  <c r="L44" i="4" s="1"/>
  <c r="R55" i="4"/>
  <c r="R52" i="4"/>
  <c r="R49" i="4"/>
  <c r="O55" i="4"/>
  <c r="O52" i="4"/>
  <c r="O49" i="4"/>
  <c r="L55" i="4"/>
  <c r="L52" i="4"/>
  <c r="L49" i="4"/>
  <c r="J52" i="4"/>
  <c r="J49" i="4"/>
  <c r="H55" i="4"/>
  <c r="H52" i="4"/>
  <c r="H49" i="4"/>
  <c r="F55" i="4"/>
  <c r="F52" i="4"/>
  <c r="F49" i="4"/>
  <c r="D55" i="4"/>
  <c r="D52" i="4"/>
  <c r="D49" i="4"/>
  <c r="N55" i="4"/>
  <c r="N56" i="4" s="1"/>
  <c r="I55" i="4"/>
  <c r="I56" i="4" s="1"/>
  <c r="G55" i="4"/>
  <c r="G56" i="4" s="1"/>
  <c r="E55" i="4"/>
  <c r="E56" i="4" s="1"/>
  <c r="C55" i="4"/>
  <c r="C56" i="4" s="1"/>
  <c r="N52" i="4"/>
  <c r="N53" i="4" s="1"/>
  <c r="I52" i="4"/>
  <c r="I53" i="4" s="1"/>
  <c r="G52" i="4"/>
  <c r="G53" i="4" s="1"/>
  <c r="E52" i="4"/>
  <c r="E53" i="4" s="1"/>
  <c r="C52" i="4"/>
  <c r="C53" i="4" s="1"/>
  <c r="N49" i="4"/>
  <c r="N50" i="4" s="1"/>
  <c r="I49" i="4"/>
  <c r="I50" i="4" s="1"/>
  <c r="G49" i="4"/>
  <c r="G50" i="4" s="1"/>
  <c r="E49" i="4"/>
  <c r="E50" i="4" s="1"/>
  <c r="C49" i="4"/>
  <c r="C50" i="4" s="1"/>
  <c r="I43" i="4"/>
  <c r="J44" i="4" s="1"/>
  <c r="G43" i="4"/>
  <c r="H44" i="4" s="1"/>
  <c r="E43" i="4"/>
  <c r="F44" i="4" s="1"/>
  <c r="C43" i="4"/>
  <c r="D44" i="4" s="1"/>
  <c r="K41" i="4"/>
  <c r="L42" i="4" s="1"/>
  <c r="I41" i="4"/>
  <c r="J42" i="4" s="1"/>
  <c r="G41" i="4"/>
  <c r="H42" i="4" s="1"/>
  <c r="E41" i="4"/>
  <c r="F42" i="4" s="1"/>
  <c r="C41" i="4"/>
  <c r="D42" i="4" s="1"/>
  <c r="K39" i="4"/>
  <c r="L40" i="4" s="1"/>
  <c r="I39" i="4"/>
  <c r="J40" i="4" s="1"/>
  <c r="G39" i="4"/>
  <c r="H40" i="4" s="1"/>
  <c r="E39" i="4"/>
  <c r="F40" i="4" s="1"/>
  <c r="C39" i="4"/>
  <c r="D40" i="4" s="1"/>
  <c r="G44" i="4" l="1"/>
  <c r="I42" i="4"/>
  <c r="I40" i="4"/>
  <c r="K40" i="4"/>
  <c r="K42" i="4"/>
  <c r="C40" i="4"/>
  <c r="C44" i="4"/>
  <c r="E42" i="4"/>
  <c r="C42" i="4"/>
  <c r="E44" i="4"/>
  <c r="K44" i="4"/>
  <c r="G42" i="4"/>
  <c r="I44" i="4"/>
  <c r="N57" i="4"/>
  <c r="N54" i="4"/>
  <c r="C54" i="4"/>
  <c r="G54" i="4"/>
  <c r="C51" i="4"/>
  <c r="I54" i="4"/>
  <c r="C57" i="4"/>
  <c r="G40" i="4"/>
  <c r="E40" i="4"/>
  <c r="N51" i="4"/>
  <c r="I57" i="4"/>
  <c r="I51" i="4"/>
  <c r="G57" i="4"/>
  <c r="G51" i="4"/>
  <c r="E57" i="4"/>
  <c r="E54" i="4"/>
  <c r="E51" i="4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157" i="1"/>
  <c r="M157" i="1" s="1"/>
  <c r="I156" i="1"/>
  <c r="M156" i="1" s="1"/>
  <c r="I155" i="1"/>
  <c r="I154" i="1"/>
  <c r="I153" i="1"/>
  <c r="I152" i="1"/>
  <c r="M152" i="1" s="1"/>
  <c r="I151" i="1"/>
  <c r="M151" i="1" s="1"/>
  <c r="I150" i="1"/>
  <c r="M150" i="1" s="1"/>
  <c r="I149" i="1"/>
  <c r="I148" i="1"/>
  <c r="I147" i="1"/>
  <c r="I146" i="1"/>
  <c r="M146" i="1" s="1"/>
  <c r="I145" i="1"/>
  <c r="M145" i="1" s="1"/>
  <c r="I144" i="1"/>
  <c r="M144" i="1" s="1"/>
  <c r="I143" i="1"/>
  <c r="I142" i="1"/>
  <c r="I141" i="1"/>
  <c r="I140" i="1"/>
  <c r="M140" i="1" s="1"/>
  <c r="I139" i="1"/>
  <c r="M139" i="1" s="1"/>
  <c r="I138" i="1"/>
  <c r="M138" i="1" s="1"/>
  <c r="I137" i="1"/>
  <c r="I136" i="1"/>
  <c r="I135" i="1"/>
  <c r="I134" i="1"/>
  <c r="M134" i="1" s="1"/>
  <c r="I133" i="1"/>
  <c r="M133" i="1" s="1"/>
  <c r="I132" i="1"/>
  <c r="M132" i="1" s="1"/>
  <c r="I131" i="1"/>
  <c r="I130" i="1"/>
  <c r="I129" i="1"/>
  <c r="I128" i="1"/>
  <c r="M128" i="1" s="1"/>
  <c r="I127" i="1"/>
  <c r="M127" i="1" s="1"/>
  <c r="I126" i="1"/>
  <c r="M126" i="1" s="1"/>
  <c r="I125" i="1"/>
  <c r="I124" i="1"/>
  <c r="I123" i="1"/>
  <c r="I122" i="1"/>
  <c r="M122" i="1" s="1"/>
  <c r="I121" i="1"/>
  <c r="M121" i="1" s="1"/>
  <c r="I120" i="1"/>
  <c r="M120" i="1" s="1"/>
  <c r="I119" i="1"/>
  <c r="I118" i="1"/>
  <c r="I117" i="1"/>
  <c r="I116" i="1"/>
  <c r="M116" i="1" s="1"/>
  <c r="I115" i="1"/>
  <c r="M115" i="1" s="1"/>
  <c r="I114" i="1"/>
  <c r="M114" i="1" s="1"/>
  <c r="I113" i="1"/>
  <c r="I112" i="1"/>
  <c r="I111" i="1"/>
  <c r="I110" i="1"/>
  <c r="M110" i="1" s="1"/>
  <c r="I109" i="1"/>
  <c r="M109" i="1" s="1"/>
  <c r="I108" i="1"/>
  <c r="M108" i="1" s="1"/>
  <c r="I107" i="1"/>
  <c r="I106" i="1"/>
  <c r="I105" i="1"/>
  <c r="I104" i="1"/>
  <c r="M104" i="1" s="1"/>
  <c r="I103" i="1"/>
  <c r="M103" i="1" s="1"/>
  <c r="I102" i="1"/>
  <c r="M102" i="1" s="1"/>
  <c r="I101" i="1"/>
  <c r="I100" i="1"/>
  <c r="I99" i="1"/>
  <c r="I98" i="1"/>
  <c r="M98" i="1" s="1"/>
  <c r="I97" i="1"/>
  <c r="M97" i="1" s="1"/>
  <c r="I96" i="1"/>
  <c r="M96" i="1" s="1"/>
  <c r="I95" i="1"/>
  <c r="I94" i="1"/>
  <c r="I93" i="1"/>
  <c r="I92" i="1"/>
  <c r="M92" i="1" s="1"/>
  <c r="I91" i="1"/>
  <c r="M91" i="1" s="1"/>
  <c r="I90" i="1"/>
  <c r="M90" i="1" s="1"/>
  <c r="I89" i="1"/>
  <c r="I88" i="1"/>
  <c r="I87" i="1"/>
  <c r="I86" i="1"/>
  <c r="M86" i="1" s="1"/>
  <c r="I85" i="1"/>
  <c r="M85" i="1" s="1"/>
  <c r="I84" i="1"/>
  <c r="M84" i="1" s="1"/>
  <c r="I83" i="1"/>
  <c r="I82" i="1"/>
  <c r="I81" i="1"/>
  <c r="I80" i="1"/>
  <c r="M80" i="1" s="1"/>
  <c r="I79" i="1"/>
  <c r="M79" i="1" s="1"/>
  <c r="I78" i="1"/>
  <c r="M78" i="1" s="1"/>
  <c r="I77" i="1"/>
  <c r="I76" i="1"/>
  <c r="I75" i="1"/>
  <c r="I74" i="1"/>
  <c r="M74" i="1" s="1"/>
  <c r="I73" i="1"/>
  <c r="M73" i="1" s="1"/>
  <c r="I72" i="1"/>
  <c r="M72" i="1" s="1"/>
  <c r="I71" i="1"/>
  <c r="I70" i="1"/>
  <c r="I69" i="1"/>
  <c r="I68" i="1"/>
  <c r="M68" i="1" s="1"/>
  <c r="I67" i="1"/>
  <c r="M67" i="1" s="1"/>
  <c r="I66" i="1"/>
  <c r="M66" i="1" s="1"/>
  <c r="I65" i="1"/>
  <c r="I64" i="1"/>
  <c r="I63" i="1"/>
  <c r="I62" i="1"/>
  <c r="M62" i="1" s="1"/>
  <c r="I61" i="1"/>
  <c r="M61" i="1" s="1"/>
  <c r="I60" i="1"/>
  <c r="M60" i="1" s="1"/>
  <c r="I59" i="1"/>
  <c r="I58" i="1"/>
  <c r="I57" i="1"/>
  <c r="I56" i="1"/>
  <c r="M56" i="1" s="1"/>
  <c r="I55" i="1"/>
  <c r="M55" i="1" s="1"/>
  <c r="I54" i="1"/>
  <c r="M54" i="1" s="1"/>
  <c r="I53" i="1"/>
  <c r="I52" i="1"/>
  <c r="I51" i="1"/>
  <c r="I50" i="1"/>
  <c r="M50" i="1" s="1"/>
  <c r="I49" i="1"/>
  <c r="M49" i="1" s="1"/>
  <c r="I48" i="1"/>
  <c r="M48" i="1" s="1"/>
  <c r="I47" i="1"/>
  <c r="I46" i="1"/>
  <c r="I45" i="1"/>
  <c r="I44" i="1"/>
  <c r="M44" i="1" s="1"/>
  <c r="I43" i="1"/>
  <c r="M43" i="1" s="1"/>
  <c r="I42" i="1"/>
  <c r="M42" i="1" s="1"/>
  <c r="I41" i="1"/>
  <c r="I40" i="1"/>
  <c r="I39" i="1"/>
  <c r="I38" i="1"/>
  <c r="M38" i="1" s="1"/>
  <c r="I37" i="1"/>
  <c r="M37" i="1" s="1"/>
  <c r="I36" i="1"/>
  <c r="M36" i="1" s="1"/>
  <c r="I35" i="1"/>
  <c r="I34" i="1"/>
  <c r="I33" i="1"/>
  <c r="I32" i="1"/>
  <c r="M32" i="1" s="1"/>
  <c r="I31" i="1"/>
  <c r="M31" i="1" s="1"/>
  <c r="I30" i="1"/>
  <c r="M30" i="1" s="1"/>
  <c r="I29" i="1"/>
  <c r="I28" i="1"/>
  <c r="I27" i="1"/>
  <c r="I26" i="1"/>
  <c r="M26" i="1" s="1"/>
  <c r="I25" i="1"/>
  <c r="M25" i="1" s="1"/>
  <c r="I24" i="1"/>
  <c r="M24" i="1" s="1"/>
  <c r="I23" i="1"/>
  <c r="I22" i="1"/>
  <c r="I21" i="1"/>
  <c r="I20" i="1"/>
  <c r="M20" i="1" s="1"/>
  <c r="I19" i="1"/>
  <c r="M19" i="1" s="1"/>
  <c r="I18" i="1"/>
  <c r="M18" i="1" s="1"/>
  <c r="I17" i="1"/>
  <c r="I16" i="1"/>
  <c r="I15" i="1"/>
  <c r="I14" i="1"/>
  <c r="M14" i="1" s="1"/>
  <c r="I13" i="1"/>
  <c r="M13" i="1" s="1"/>
  <c r="I12" i="1"/>
  <c r="M12" i="1" s="1"/>
  <c r="I11" i="1"/>
  <c r="I10" i="1"/>
  <c r="I9" i="1"/>
  <c r="I8" i="1"/>
  <c r="M8" i="1" s="1"/>
  <c r="I7" i="1"/>
  <c r="M7" i="1" s="1"/>
  <c r="I6" i="1"/>
  <c r="M6" i="1" s="1"/>
  <c r="I5" i="1"/>
  <c r="Z138" i="1"/>
  <c r="R4" i="4"/>
  <c r="K26" i="4"/>
  <c r="Q26" i="4"/>
  <c r="Q23" i="4"/>
  <c r="K23" i="4"/>
  <c r="Q20" i="4"/>
  <c r="K20" i="4"/>
  <c r="L11" i="4"/>
  <c r="K11" i="4"/>
  <c r="J11" i="4"/>
  <c r="I11" i="4"/>
  <c r="H11" i="4"/>
  <c r="G11" i="4"/>
  <c r="F11" i="4"/>
  <c r="E11" i="4"/>
  <c r="D11" i="4"/>
  <c r="C11" i="4"/>
  <c r="N27" i="4"/>
  <c r="N28" i="4" s="1"/>
  <c r="I27" i="4"/>
  <c r="G27" i="4"/>
  <c r="E27" i="4"/>
  <c r="C27" i="4"/>
  <c r="L15" i="4"/>
  <c r="K15" i="4"/>
  <c r="J15" i="4"/>
  <c r="I15" i="4"/>
  <c r="H15" i="4"/>
  <c r="G15" i="4"/>
  <c r="F15" i="4"/>
  <c r="E15" i="4"/>
  <c r="D15" i="4"/>
  <c r="C15" i="4"/>
  <c r="N24" i="4"/>
  <c r="I24" i="4"/>
  <c r="G24" i="4"/>
  <c r="E24" i="4"/>
  <c r="C24" i="4"/>
  <c r="L13" i="4"/>
  <c r="K13" i="4"/>
  <c r="J13" i="4"/>
  <c r="I13" i="4"/>
  <c r="H13" i="4"/>
  <c r="G13" i="4"/>
  <c r="F13" i="4"/>
  <c r="E13" i="4"/>
  <c r="D13" i="4"/>
  <c r="C13" i="4"/>
  <c r="N21" i="4"/>
  <c r="I21" i="4"/>
  <c r="G21" i="4"/>
  <c r="E21" i="4"/>
  <c r="C21" i="4"/>
  <c r="C22" i="4" s="1"/>
  <c r="N43" i="4" l="1"/>
  <c r="R43" i="4" s="1"/>
  <c r="N39" i="4"/>
  <c r="R39" i="4" s="1"/>
  <c r="N41" i="4"/>
  <c r="R41" i="4" s="1"/>
  <c r="Q21" i="4"/>
  <c r="Q49" i="4"/>
  <c r="K24" i="4"/>
  <c r="K25" i="4" s="1"/>
  <c r="K52" i="4"/>
  <c r="Q24" i="4"/>
  <c r="Q52" i="4"/>
  <c r="Q27" i="4"/>
  <c r="Q28" i="4" s="1"/>
  <c r="Q55" i="4"/>
  <c r="K27" i="4"/>
  <c r="K55" i="4"/>
  <c r="K21" i="4"/>
  <c r="K49" i="4"/>
  <c r="K50" i="4" s="1"/>
  <c r="L158" i="1"/>
  <c r="M9" i="1"/>
  <c r="M15" i="1"/>
  <c r="M27" i="1"/>
  <c r="M39" i="1"/>
  <c r="M51" i="1"/>
  <c r="M63" i="1"/>
  <c r="M75" i="1"/>
  <c r="M87" i="1"/>
  <c r="M99" i="1"/>
  <c r="M111" i="1"/>
  <c r="M123" i="1"/>
  <c r="M135" i="1"/>
  <c r="M141" i="1"/>
  <c r="M153" i="1"/>
  <c r="M10" i="1"/>
  <c r="M16" i="1"/>
  <c r="M28" i="1"/>
  <c r="M34" i="1"/>
  <c r="M46" i="1"/>
  <c r="M58" i="1"/>
  <c r="M70" i="1"/>
  <c r="M76" i="1"/>
  <c r="M88" i="1"/>
  <c r="M94" i="1"/>
  <c r="M100" i="1"/>
  <c r="M112" i="1"/>
  <c r="M118" i="1"/>
  <c r="M124" i="1"/>
  <c r="M130" i="1"/>
  <c r="M136" i="1"/>
  <c r="M142" i="1"/>
  <c r="M154" i="1"/>
  <c r="I158" i="1"/>
  <c r="M158" i="1" s="1"/>
  <c r="M11" i="1"/>
  <c r="M17" i="1"/>
  <c r="M23" i="1"/>
  <c r="M29" i="1"/>
  <c r="M35" i="1"/>
  <c r="M41" i="1"/>
  <c r="M47" i="1"/>
  <c r="M53" i="1"/>
  <c r="M59" i="1"/>
  <c r="M65" i="1"/>
  <c r="M71" i="1"/>
  <c r="M77" i="1"/>
  <c r="M83" i="1"/>
  <c r="M89" i="1"/>
  <c r="M95" i="1"/>
  <c r="M101" i="1"/>
  <c r="M107" i="1"/>
  <c r="M113" i="1"/>
  <c r="M119" i="1"/>
  <c r="M125" i="1"/>
  <c r="M131" i="1"/>
  <c r="M137" i="1"/>
  <c r="M143" i="1"/>
  <c r="M149" i="1"/>
  <c r="M155" i="1"/>
  <c r="M21" i="1"/>
  <c r="M33" i="1"/>
  <c r="M45" i="1"/>
  <c r="M57" i="1"/>
  <c r="M69" i="1"/>
  <c r="M81" i="1"/>
  <c r="M93" i="1"/>
  <c r="M105" i="1"/>
  <c r="M117" i="1"/>
  <c r="M129" i="1"/>
  <c r="M147" i="1"/>
  <c r="M22" i="1"/>
  <c r="M40" i="1"/>
  <c r="M52" i="1"/>
  <c r="M64" i="1"/>
  <c r="M82" i="1"/>
  <c r="M106" i="1"/>
  <c r="M148" i="1"/>
  <c r="M5" i="1"/>
  <c r="I6" i="4"/>
  <c r="P43" i="4" s="1"/>
  <c r="G6" i="4"/>
  <c r="E6" i="4"/>
  <c r="Q6" i="4"/>
  <c r="K5" i="4"/>
  <c r="K4" i="4"/>
  <c r="Q53" i="4" l="1"/>
  <c r="Q54" i="4" s="1"/>
  <c r="K56" i="4"/>
  <c r="K57" i="4" s="1"/>
  <c r="K53" i="4"/>
  <c r="K54" i="4" s="1"/>
  <c r="P39" i="4"/>
  <c r="P41" i="4"/>
  <c r="Q56" i="4"/>
  <c r="Q57" i="4" s="1"/>
  <c r="Q50" i="4"/>
  <c r="Q51" i="4" s="1"/>
  <c r="K51" i="4"/>
  <c r="R45" i="4"/>
  <c r="V51" i="4" s="1"/>
  <c r="K6" i="4"/>
  <c r="N138" i="1"/>
  <c r="P138" i="1" s="1"/>
  <c r="Q138" i="1"/>
  <c r="AA138" i="1" s="1"/>
  <c r="T138" i="1"/>
  <c r="V138" i="1"/>
  <c r="V137" i="1"/>
  <c r="V49" i="4" l="1"/>
  <c r="P45" i="4"/>
  <c r="V47" i="4" s="1"/>
  <c r="R138" i="1"/>
  <c r="V150" i="1"/>
  <c r="V149" i="1"/>
  <c r="V148" i="1"/>
  <c r="V147" i="1"/>
  <c r="V146" i="1"/>
  <c r="V145" i="1"/>
  <c r="V144" i="1"/>
  <c r="T150" i="1"/>
  <c r="T149" i="1"/>
  <c r="T148" i="1"/>
  <c r="T147" i="1"/>
  <c r="T146" i="1"/>
  <c r="T145" i="1"/>
  <c r="T144" i="1"/>
  <c r="Q150" i="1"/>
  <c r="Q149" i="1"/>
  <c r="Q148" i="1"/>
  <c r="Q147" i="1"/>
  <c r="Q146" i="1"/>
  <c r="Q145" i="1"/>
  <c r="Q144" i="1"/>
  <c r="N150" i="1"/>
  <c r="P150" i="1" s="1"/>
  <c r="N149" i="1"/>
  <c r="P149" i="1" s="1"/>
  <c r="N148" i="1"/>
  <c r="P148" i="1" s="1"/>
  <c r="N147" i="1"/>
  <c r="R147" i="1" s="1"/>
  <c r="N146" i="1"/>
  <c r="N145" i="1"/>
  <c r="N144" i="1"/>
  <c r="P144" i="1" s="1"/>
  <c r="V53" i="4" l="1"/>
  <c r="R146" i="1"/>
  <c r="R144" i="1"/>
  <c r="R150" i="1"/>
  <c r="R149" i="1"/>
  <c r="R148" i="1"/>
  <c r="R145" i="1"/>
  <c r="P145" i="1"/>
  <c r="P146" i="1"/>
  <c r="P147" i="1"/>
  <c r="I22" i="4" l="1"/>
  <c r="K22" i="4"/>
  <c r="K28" i="4"/>
  <c r="G34" i="6" l="1"/>
  <c r="S4" i="4" s="1"/>
  <c r="F34" i="6"/>
  <c r="E34" i="6"/>
  <c r="S6" i="4" s="1"/>
  <c r="D34" i="6"/>
  <c r="U4" i="4" l="1"/>
  <c r="F35" i="6"/>
  <c r="D35" i="6"/>
  <c r="R6" i="4"/>
  <c r="U6" i="4" s="1"/>
  <c r="Q25" i="4"/>
  <c r="N25" i="4"/>
  <c r="Q22" i="4"/>
  <c r="N22" i="4"/>
  <c r="I28" i="4"/>
  <c r="G28" i="4"/>
  <c r="E28" i="4"/>
  <c r="C28" i="4"/>
  <c r="C25" i="4"/>
  <c r="E25" i="4"/>
  <c r="G25" i="4"/>
  <c r="I25" i="4"/>
  <c r="G22" i="4"/>
  <c r="E22" i="4"/>
  <c r="Q157" i="1"/>
  <c r="Q156" i="1"/>
  <c r="AA156" i="1" s="1"/>
  <c r="Q155" i="1"/>
  <c r="AA155" i="1" s="1"/>
  <c r="Q154" i="1"/>
  <c r="AA154" i="1" s="1"/>
  <c r="Q153" i="1"/>
  <c r="AA153" i="1" s="1"/>
  <c r="Q152" i="1"/>
  <c r="AA152" i="1" s="1"/>
  <c r="Q151" i="1"/>
  <c r="AA151" i="1" s="1"/>
  <c r="Q143" i="1"/>
  <c r="AA143" i="1" s="1"/>
  <c r="Q142" i="1"/>
  <c r="AA142" i="1" s="1"/>
  <c r="Q141" i="1"/>
  <c r="Q140" i="1"/>
  <c r="AA140" i="1" s="1"/>
  <c r="Q139" i="1"/>
  <c r="AA139" i="1" s="1"/>
  <c r="Q137" i="1"/>
  <c r="AA137" i="1" s="1"/>
  <c r="Q136" i="1"/>
  <c r="AA136" i="1" s="1"/>
  <c r="Q135" i="1"/>
  <c r="AA135" i="1" s="1"/>
  <c r="Q134" i="1"/>
  <c r="AA134" i="1" s="1"/>
  <c r="Q133" i="1"/>
  <c r="AA133" i="1" s="1"/>
  <c r="Q132" i="1"/>
  <c r="AA132" i="1" s="1"/>
  <c r="Q131" i="1"/>
  <c r="AA131" i="1" s="1"/>
  <c r="Q130" i="1"/>
  <c r="AA130" i="1" s="1"/>
  <c r="Q129" i="1"/>
  <c r="AA129" i="1" s="1"/>
  <c r="Q128" i="1"/>
  <c r="AA128" i="1" s="1"/>
  <c r="Q127" i="1"/>
  <c r="AA127" i="1" s="1"/>
  <c r="Q126" i="1"/>
  <c r="AA126" i="1" s="1"/>
  <c r="Q125" i="1"/>
  <c r="AA125" i="1" s="1"/>
  <c r="Q124" i="1"/>
  <c r="AA124" i="1" s="1"/>
  <c r="Q123" i="1"/>
  <c r="AA123" i="1" s="1"/>
  <c r="Q122" i="1"/>
  <c r="AA122" i="1" s="1"/>
  <c r="Q121" i="1"/>
  <c r="AA121" i="1" s="1"/>
  <c r="Q120" i="1"/>
  <c r="AA120" i="1" s="1"/>
  <c r="Q119" i="1"/>
  <c r="AA119" i="1" s="1"/>
  <c r="Q118" i="1"/>
  <c r="AA118" i="1" s="1"/>
  <c r="Q117" i="1"/>
  <c r="AA117" i="1" s="1"/>
  <c r="Q116" i="1"/>
  <c r="AA116" i="1" s="1"/>
  <c r="Q115" i="1"/>
  <c r="Q114" i="1"/>
  <c r="AA114" i="1" s="1"/>
  <c r="Q113" i="1"/>
  <c r="AA113" i="1" s="1"/>
  <c r="Q112" i="1"/>
  <c r="AA112" i="1" s="1"/>
  <c r="Q111" i="1"/>
  <c r="AA111" i="1" s="1"/>
  <c r="Q110" i="1"/>
  <c r="AA110" i="1" s="1"/>
  <c r="Q109" i="1"/>
  <c r="AA109" i="1" s="1"/>
  <c r="Q108" i="1"/>
  <c r="AA108" i="1" s="1"/>
  <c r="Q107" i="1"/>
  <c r="AA107" i="1" s="1"/>
  <c r="Q106" i="1"/>
  <c r="AA106" i="1" s="1"/>
  <c r="Q105" i="1"/>
  <c r="AA105" i="1" s="1"/>
  <c r="Q104" i="1"/>
  <c r="Q103" i="1"/>
  <c r="AA103" i="1" s="1"/>
  <c r="Q102" i="1"/>
  <c r="AA102" i="1" s="1"/>
  <c r="Q101" i="1"/>
  <c r="AA101" i="1" s="1"/>
  <c r="Q100" i="1"/>
  <c r="AA100" i="1" s="1"/>
  <c r="Q99" i="1"/>
  <c r="AA99" i="1" s="1"/>
  <c r="Q98" i="1"/>
  <c r="AA98" i="1" s="1"/>
  <c r="Q97" i="1"/>
  <c r="AA97" i="1" s="1"/>
  <c r="Q96" i="1"/>
  <c r="AA96" i="1" s="1"/>
  <c r="Q95" i="1"/>
  <c r="AA95" i="1" s="1"/>
  <c r="Q94" i="1"/>
  <c r="AA94" i="1" s="1"/>
  <c r="Q93" i="1"/>
  <c r="AA93" i="1" s="1"/>
  <c r="Q92" i="1"/>
  <c r="AA92" i="1" s="1"/>
  <c r="Q91" i="1"/>
  <c r="AA91" i="1" s="1"/>
  <c r="Q90" i="1"/>
  <c r="AA90" i="1" s="1"/>
  <c r="Q89" i="1"/>
  <c r="AA89" i="1" s="1"/>
  <c r="Q88" i="1"/>
  <c r="AA88" i="1" s="1"/>
  <c r="Q87" i="1"/>
  <c r="AA87" i="1" s="1"/>
  <c r="Q86" i="1"/>
  <c r="AA86" i="1" s="1"/>
  <c r="Q85" i="1"/>
  <c r="AA85" i="1" s="1"/>
  <c r="Q84" i="1"/>
  <c r="AA84" i="1" s="1"/>
  <c r="Q83" i="1"/>
  <c r="AA83" i="1" s="1"/>
  <c r="Q82" i="1"/>
  <c r="AA82" i="1" s="1"/>
  <c r="Q81" i="1"/>
  <c r="AA81" i="1" s="1"/>
  <c r="Q80" i="1"/>
  <c r="AA80" i="1" s="1"/>
  <c r="Q79" i="1"/>
  <c r="AA79" i="1" s="1"/>
  <c r="Q78" i="1"/>
  <c r="AA78" i="1" s="1"/>
  <c r="Q77" i="1"/>
  <c r="AA77" i="1" s="1"/>
  <c r="Q76" i="1"/>
  <c r="AA76" i="1" s="1"/>
  <c r="Q75" i="1"/>
  <c r="AA75" i="1" s="1"/>
  <c r="Q74" i="1"/>
  <c r="AA74" i="1" s="1"/>
  <c r="Q73" i="1"/>
  <c r="AA73" i="1" s="1"/>
  <c r="Q72" i="1"/>
  <c r="AA72" i="1" s="1"/>
  <c r="Q71" i="1"/>
  <c r="AA71" i="1" s="1"/>
  <c r="Q70" i="1"/>
  <c r="AA70" i="1" s="1"/>
  <c r="Q69" i="1"/>
  <c r="AA69" i="1" s="1"/>
  <c r="Q68" i="1"/>
  <c r="AA68" i="1" s="1"/>
  <c r="Q67" i="1"/>
  <c r="AA67" i="1" s="1"/>
  <c r="Q66" i="1"/>
  <c r="AA66" i="1" s="1"/>
  <c r="Q65" i="1"/>
  <c r="AA65" i="1" s="1"/>
  <c r="Q64" i="1"/>
  <c r="AA64" i="1" s="1"/>
  <c r="Q63" i="1"/>
  <c r="AA63" i="1" s="1"/>
  <c r="Q62" i="1"/>
  <c r="AA62" i="1" s="1"/>
  <c r="Q61" i="1"/>
  <c r="AA61" i="1" s="1"/>
  <c r="Q60" i="1"/>
  <c r="AA60" i="1" s="1"/>
  <c r="Q59" i="1"/>
  <c r="AA59" i="1" s="1"/>
  <c r="Q58" i="1"/>
  <c r="AA58" i="1" s="1"/>
  <c r="Q57" i="1"/>
  <c r="AA57" i="1" s="1"/>
  <c r="Q56" i="1"/>
  <c r="AA56" i="1" s="1"/>
  <c r="Q55" i="1"/>
  <c r="AA55" i="1" s="1"/>
  <c r="Q54" i="1"/>
  <c r="AA54" i="1" s="1"/>
  <c r="Q53" i="1"/>
  <c r="AA53" i="1" s="1"/>
  <c r="Q52" i="1"/>
  <c r="AA52" i="1" s="1"/>
  <c r="Q51" i="1"/>
  <c r="AA51" i="1" s="1"/>
  <c r="Q50" i="1"/>
  <c r="AA50" i="1" s="1"/>
  <c r="Q49" i="1"/>
  <c r="AA49" i="1" s="1"/>
  <c r="Q48" i="1"/>
  <c r="AA48" i="1" s="1"/>
  <c r="Q47" i="1"/>
  <c r="AA47" i="1" s="1"/>
  <c r="Q46" i="1"/>
  <c r="AA46" i="1" s="1"/>
  <c r="Q45" i="1"/>
  <c r="AA45" i="1" s="1"/>
  <c r="Q44" i="1"/>
  <c r="AA44" i="1" s="1"/>
  <c r="Q43" i="1"/>
  <c r="AA43" i="1" s="1"/>
  <c r="Q42" i="1"/>
  <c r="AA42" i="1" s="1"/>
  <c r="Q41" i="1"/>
  <c r="AA41" i="1" s="1"/>
  <c r="Q40" i="1"/>
  <c r="AA40" i="1" s="1"/>
  <c r="Q39" i="1"/>
  <c r="AA39" i="1" s="1"/>
  <c r="Q38" i="1"/>
  <c r="AA38" i="1" s="1"/>
  <c r="Q37" i="1"/>
  <c r="AA37" i="1" s="1"/>
  <c r="Q36" i="1"/>
  <c r="AA36" i="1" s="1"/>
  <c r="Q35" i="1"/>
  <c r="AA35" i="1" s="1"/>
  <c r="Q34" i="1"/>
  <c r="AA34" i="1" s="1"/>
  <c r="Q33" i="1"/>
  <c r="AA33" i="1" s="1"/>
  <c r="Q32" i="1"/>
  <c r="AA32" i="1" s="1"/>
  <c r="Q31" i="1"/>
  <c r="AA31" i="1" s="1"/>
  <c r="Q30" i="1"/>
  <c r="AA30" i="1" s="1"/>
  <c r="Q29" i="1"/>
  <c r="AA29" i="1" s="1"/>
  <c r="Q28" i="1"/>
  <c r="AA28" i="1" s="1"/>
  <c r="Q27" i="1"/>
  <c r="AA27" i="1" s="1"/>
  <c r="Q26" i="1"/>
  <c r="AA26" i="1" s="1"/>
  <c r="Q25" i="1"/>
  <c r="AA25" i="1" s="1"/>
  <c r="Q24" i="1"/>
  <c r="AA24" i="1" s="1"/>
  <c r="Q23" i="1"/>
  <c r="AA23" i="1" s="1"/>
  <c r="Q22" i="1"/>
  <c r="AA22" i="1" s="1"/>
  <c r="Q21" i="1"/>
  <c r="AA21" i="1" s="1"/>
  <c r="Q20" i="1"/>
  <c r="AA20" i="1" s="1"/>
  <c r="Q19" i="1"/>
  <c r="AA19" i="1" s="1"/>
  <c r="Q18" i="1"/>
  <c r="AA18" i="1" s="1"/>
  <c r="Q17" i="1"/>
  <c r="AA17" i="1" s="1"/>
  <c r="Q16" i="1"/>
  <c r="AA16" i="1" s="1"/>
  <c r="Q15" i="1"/>
  <c r="AA15" i="1" s="1"/>
  <c r="Q14" i="1"/>
  <c r="AA14" i="1" s="1"/>
  <c r="Q13" i="1"/>
  <c r="AA13" i="1" s="1"/>
  <c r="Q12" i="1"/>
  <c r="AA12" i="1" s="1"/>
  <c r="Q11" i="1"/>
  <c r="AA11" i="1" s="1"/>
  <c r="Q10" i="1"/>
  <c r="AA10" i="1" s="1"/>
  <c r="Q9" i="1"/>
  <c r="AA9" i="1" s="1"/>
  <c r="Q8" i="1"/>
  <c r="AA8" i="1" s="1"/>
  <c r="Q7" i="1"/>
  <c r="AA7" i="1" s="1"/>
  <c r="Q6" i="1"/>
  <c r="AA6" i="1" s="1"/>
  <c r="Z157" i="1"/>
  <c r="Z156" i="1"/>
  <c r="Z155" i="1"/>
  <c r="Z154" i="1"/>
  <c r="Z153" i="1"/>
  <c r="Z152" i="1"/>
  <c r="Z151" i="1"/>
  <c r="Z143" i="1"/>
  <c r="Z142" i="1"/>
  <c r="Z141" i="1"/>
  <c r="Z140" i="1"/>
  <c r="Z139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V139" i="1"/>
  <c r="V136" i="1"/>
  <c r="V135" i="1"/>
  <c r="V134" i="1"/>
  <c r="V133" i="1"/>
  <c r="V132" i="1"/>
  <c r="V131" i="1"/>
  <c r="V130" i="1"/>
  <c r="V129" i="1"/>
  <c r="V128" i="1"/>
  <c r="V127" i="1"/>
  <c r="T139" i="1"/>
  <c r="T137" i="1"/>
  <c r="T136" i="1"/>
  <c r="T135" i="1"/>
  <c r="T134" i="1"/>
  <c r="T133" i="1"/>
  <c r="T132" i="1"/>
  <c r="T131" i="1"/>
  <c r="T130" i="1"/>
  <c r="T129" i="1"/>
  <c r="T128" i="1"/>
  <c r="T127" i="1"/>
  <c r="N139" i="1"/>
  <c r="N137" i="1"/>
  <c r="P137" i="1" s="1"/>
  <c r="N136" i="1"/>
  <c r="P136" i="1" s="1"/>
  <c r="N135" i="1"/>
  <c r="P135" i="1" s="1"/>
  <c r="N134" i="1"/>
  <c r="P134" i="1" s="1"/>
  <c r="N133" i="1"/>
  <c r="P133" i="1" s="1"/>
  <c r="N132" i="1"/>
  <c r="N131" i="1"/>
  <c r="P131" i="1" s="1"/>
  <c r="N130" i="1"/>
  <c r="P130" i="1" s="1"/>
  <c r="N129" i="1"/>
  <c r="P129" i="1" s="1"/>
  <c r="N128" i="1"/>
  <c r="P128" i="1" s="1"/>
  <c r="N127" i="1"/>
  <c r="V157" i="1"/>
  <c r="V156" i="1"/>
  <c r="V155" i="1"/>
  <c r="V154" i="1"/>
  <c r="V153" i="1"/>
  <c r="V152" i="1"/>
  <c r="V151" i="1"/>
  <c r="V143" i="1"/>
  <c r="V142" i="1"/>
  <c r="V141" i="1"/>
  <c r="V140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T157" i="1"/>
  <c r="T156" i="1"/>
  <c r="T155" i="1"/>
  <c r="T154" i="1"/>
  <c r="T153" i="1"/>
  <c r="T152" i="1"/>
  <c r="T151" i="1"/>
  <c r="T143" i="1"/>
  <c r="T142" i="1"/>
  <c r="T141" i="1"/>
  <c r="T140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5" i="1"/>
  <c r="AA5" i="1" s="1"/>
  <c r="N157" i="1"/>
  <c r="P157" i="1" s="1"/>
  <c r="N156" i="1"/>
  <c r="P156" i="1" s="1"/>
  <c r="N155" i="1"/>
  <c r="P155" i="1" s="1"/>
  <c r="N154" i="1"/>
  <c r="N153" i="1"/>
  <c r="N152" i="1"/>
  <c r="N151" i="1"/>
  <c r="P151" i="1" s="1"/>
  <c r="N143" i="1"/>
  <c r="P143" i="1" s="1"/>
  <c r="N142" i="1"/>
  <c r="N141" i="1"/>
  <c r="P141" i="1" s="1"/>
  <c r="N140" i="1"/>
  <c r="P140" i="1" s="1"/>
  <c r="N126" i="1"/>
  <c r="N125" i="1"/>
  <c r="P125" i="1" s="1"/>
  <c r="N124" i="1"/>
  <c r="N123" i="1"/>
  <c r="N122" i="1"/>
  <c r="N121" i="1"/>
  <c r="P121" i="1" s="1"/>
  <c r="N120" i="1"/>
  <c r="P120" i="1" s="1"/>
  <c r="N119" i="1"/>
  <c r="P119" i="1" s="1"/>
  <c r="N118" i="1"/>
  <c r="P118" i="1" s="1"/>
  <c r="N117" i="1"/>
  <c r="P117" i="1" s="1"/>
  <c r="N116" i="1"/>
  <c r="N115" i="1"/>
  <c r="P115" i="1" s="1"/>
  <c r="N114" i="1"/>
  <c r="N113" i="1"/>
  <c r="N112" i="1"/>
  <c r="P112" i="1" s="1"/>
  <c r="N111" i="1"/>
  <c r="P111" i="1" s="1"/>
  <c r="N110" i="1"/>
  <c r="N109" i="1"/>
  <c r="P109" i="1" s="1"/>
  <c r="N108" i="1"/>
  <c r="P108" i="1" s="1"/>
  <c r="N107" i="1"/>
  <c r="P107" i="1" s="1"/>
  <c r="N106" i="1"/>
  <c r="N105" i="1"/>
  <c r="P105" i="1" s="1"/>
  <c r="N104" i="1"/>
  <c r="P104" i="1" s="1"/>
  <c r="N103" i="1"/>
  <c r="P103" i="1" s="1"/>
  <c r="N102" i="1"/>
  <c r="N101" i="1"/>
  <c r="P101" i="1" s="1"/>
  <c r="N100" i="1"/>
  <c r="N99" i="1"/>
  <c r="P99" i="1" s="1"/>
  <c r="N98" i="1"/>
  <c r="P98" i="1" s="1"/>
  <c r="N97" i="1"/>
  <c r="P97" i="1" s="1"/>
  <c r="N96" i="1"/>
  <c r="P96" i="1" s="1"/>
  <c r="N95" i="1"/>
  <c r="N94" i="1"/>
  <c r="P94" i="1" s="1"/>
  <c r="N93" i="1"/>
  <c r="P93" i="1" s="1"/>
  <c r="N92" i="1"/>
  <c r="N91" i="1"/>
  <c r="N90" i="1"/>
  <c r="N89" i="1"/>
  <c r="P89" i="1" s="1"/>
  <c r="N88" i="1"/>
  <c r="P88" i="1" s="1"/>
  <c r="N87" i="1"/>
  <c r="N86" i="1"/>
  <c r="N85" i="1"/>
  <c r="N84" i="1"/>
  <c r="P84" i="1" s="1"/>
  <c r="N83" i="1"/>
  <c r="N82" i="1"/>
  <c r="P82" i="1" s="1"/>
  <c r="N81" i="1"/>
  <c r="N80" i="1"/>
  <c r="N79" i="1"/>
  <c r="N78" i="1"/>
  <c r="N77" i="1"/>
  <c r="P77" i="1" s="1"/>
  <c r="N76" i="1"/>
  <c r="P76" i="1" s="1"/>
  <c r="N75" i="1"/>
  <c r="P75" i="1" s="1"/>
  <c r="N74" i="1"/>
  <c r="N73" i="1"/>
  <c r="P73" i="1" s="1"/>
  <c r="N72" i="1"/>
  <c r="N71" i="1"/>
  <c r="N70" i="1"/>
  <c r="P70" i="1" s="1"/>
  <c r="N69" i="1"/>
  <c r="P69" i="1" s="1"/>
  <c r="N68" i="1"/>
  <c r="P68" i="1" s="1"/>
  <c r="N67" i="1"/>
  <c r="P67" i="1" s="1"/>
  <c r="N66" i="1"/>
  <c r="N65" i="1"/>
  <c r="N64" i="1"/>
  <c r="P64" i="1" s="1"/>
  <c r="N63" i="1"/>
  <c r="N62" i="1"/>
  <c r="P62" i="1" s="1"/>
  <c r="N61" i="1"/>
  <c r="P61" i="1" s="1"/>
  <c r="N60" i="1"/>
  <c r="P60" i="1" s="1"/>
  <c r="N59" i="1"/>
  <c r="P59" i="1" s="1"/>
  <c r="N58" i="1"/>
  <c r="P58" i="1" s="1"/>
  <c r="N57" i="1"/>
  <c r="P57" i="1" s="1"/>
  <c r="N56" i="1"/>
  <c r="P56" i="1" s="1"/>
  <c r="N55" i="1"/>
  <c r="N54" i="1"/>
  <c r="N53" i="1"/>
  <c r="R53" i="1" s="1"/>
  <c r="N52" i="1"/>
  <c r="N51" i="1"/>
  <c r="P51" i="1" s="1"/>
  <c r="N50" i="1"/>
  <c r="N49" i="1"/>
  <c r="P49" i="1" s="1"/>
  <c r="N48" i="1"/>
  <c r="N47" i="1"/>
  <c r="P47" i="1" s="1"/>
  <c r="N46" i="1"/>
  <c r="N45" i="1"/>
  <c r="P45" i="1" s="1"/>
  <c r="N44" i="1"/>
  <c r="N43" i="1"/>
  <c r="P43" i="1" s="1"/>
  <c r="N42" i="1"/>
  <c r="N41" i="1"/>
  <c r="N40" i="1"/>
  <c r="N39" i="1"/>
  <c r="N38" i="1"/>
  <c r="N37" i="1"/>
  <c r="N36" i="1"/>
  <c r="N35" i="1"/>
  <c r="P35" i="1" s="1"/>
  <c r="N34" i="1"/>
  <c r="P34" i="1" s="1"/>
  <c r="N33" i="1"/>
  <c r="N32" i="1"/>
  <c r="N31" i="1"/>
  <c r="N30" i="1"/>
  <c r="N29" i="1"/>
  <c r="P29" i="1" s="1"/>
  <c r="N28" i="1"/>
  <c r="P28" i="1" s="1"/>
  <c r="N27" i="1"/>
  <c r="P27" i="1" s="1"/>
  <c r="N26" i="1"/>
  <c r="N25" i="1"/>
  <c r="N24" i="1"/>
  <c r="P24" i="1" s="1"/>
  <c r="N23" i="1"/>
  <c r="N22" i="1"/>
  <c r="N21" i="1"/>
  <c r="P21" i="1" s="1"/>
  <c r="N20" i="1"/>
  <c r="N19" i="1"/>
  <c r="P19" i="1" s="1"/>
  <c r="N18" i="1"/>
  <c r="P18" i="1" s="1"/>
  <c r="N17" i="1"/>
  <c r="P17" i="1" s="1"/>
  <c r="N16" i="1"/>
  <c r="N15" i="1"/>
  <c r="N14" i="1"/>
  <c r="N13" i="1"/>
  <c r="N12" i="1"/>
  <c r="N11" i="1"/>
  <c r="P11" i="1" s="1"/>
  <c r="N10" i="1"/>
  <c r="P10" i="1" s="1"/>
  <c r="N9" i="1"/>
  <c r="P9" i="1" s="1"/>
  <c r="N8" i="1"/>
  <c r="N7" i="1"/>
  <c r="P7" i="1" s="1"/>
  <c r="N6" i="1"/>
  <c r="P6" i="1" s="1"/>
  <c r="N5" i="1"/>
  <c r="AA157" i="1"/>
  <c r="V23" i="4" l="1"/>
  <c r="N14" i="4"/>
  <c r="N10" i="4"/>
  <c r="N12" i="4"/>
  <c r="R65" i="1"/>
  <c r="R79" i="1"/>
  <c r="R31" i="1"/>
  <c r="R25" i="1"/>
  <c r="R13" i="1"/>
  <c r="R37" i="1"/>
  <c r="R85" i="1"/>
  <c r="R131" i="1"/>
  <c r="R15" i="1"/>
  <c r="R63" i="1"/>
  <c r="R81" i="1"/>
  <c r="R87" i="1"/>
  <c r="R123" i="1"/>
  <c r="R137" i="1"/>
  <c r="R59" i="1"/>
  <c r="R86" i="1"/>
  <c r="R41" i="1"/>
  <c r="R71" i="1"/>
  <c r="R83" i="1"/>
  <c r="R12" i="1"/>
  <c r="R30" i="1"/>
  <c r="R36" i="1"/>
  <c r="R42" i="1"/>
  <c r="R48" i="1"/>
  <c r="R54" i="1"/>
  <c r="R66" i="1"/>
  <c r="R72" i="1"/>
  <c r="R134" i="1"/>
  <c r="R56" i="1"/>
  <c r="R16" i="1"/>
  <c r="R40" i="1"/>
  <c r="R46" i="1"/>
  <c r="R52" i="1"/>
  <c r="R64" i="1"/>
  <c r="R8" i="1"/>
  <c r="R14" i="1"/>
  <c r="R20" i="1"/>
  <c r="R26" i="1"/>
  <c r="R32" i="1"/>
  <c r="R135" i="1"/>
  <c r="P25" i="1"/>
  <c r="R21" i="1"/>
  <c r="R95" i="1"/>
  <c r="R113" i="1"/>
  <c r="R108" i="1"/>
  <c r="R132" i="1"/>
  <c r="R139" i="1"/>
  <c r="R70" i="1"/>
  <c r="R75" i="1"/>
  <c r="R80" i="1"/>
  <c r="R92" i="1"/>
  <c r="R110" i="1"/>
  <c r="R116" i="1"/>
  <c r="P46" i="1"/>
  <c r="R97" i="1"/>
  <c r="R84" i="1"/>
  <c r="R5" i="1"/>
  <c r="R90" i="1"/>
  <c r="R102" i="1"/>
  <c r="R126" i="1"/>
  <c r="R152" i="1"/>
  <c r="R119" i="1"/>
  <c r="R122" i="1"/>
  <c r="P15" i="1"/>
  <c r="P86" i="1"/>
  <c r="R28" i="1"/>
  <c r="R24" i="1"/>
  <c r="R100" i="1"/>
  <c r="R106" i="1"/>
  <c r="R124" i="1"/>
  <c r="R69" i="1"/>
  <c r="P72" i="1"/>
  <c r="R127" i="1"/>
  <c r="R141" i="1"/>
  <c r="P87" i="1"/>
  <c r="R51" i="1"/>
  <c r="R10" i="1"/>
  <c r="R91" i="1"/>
  <c r="R103" i="1"/>
  <c r="R140" i="1"/>
  <c r="R153" i="1"/>
  <c r="R19" i="1"/>
  <c r="R157" i="1"/>
  <c r="P110" i="1"/>
  <c r="R104" i="1"/>
  <c r="R115" i="1"/>
  <c r="G165" i="1"/>
  <c r="P41" i="1"/>
  <c r="R99" i="1"/>
  <c r="R88" i="1"/>
  <c r="R133" i="1"/>
  <c r="R47" i="1"/>
  <c r="R76" i="1"/>
  <c r="R6" i="1"/>
  <c r="R11" i="1"/>
  <c r="R23" i="1"/>
  <c r="R105" i="1"/>
  <c r="R142" i="1"/>
  <c r="R155" i="1"/>
  <c r="AA104" i="1"/>
  <c r="AA115" i="1"/>
  <c r="AA141" i="1"/>
  <c r="R128" i="1"/>
  <c r="P54" i="1"/>
  <c r="R29" i="1"/>
  <c r="R55" i="1"/>
  <c r="R78" i="1"/>
  <c r="R114" i="1"/>
  <c r="R143" i="1"/>
  <c r="P127" i="1"/>
  <c r="P48" i="1"/>
  <c r="R151" i="1"/>
  <c r="R130" i="1"/>
  <c r="R38" i="1"/>
  <c r="R44" i="1"/>
  <c r="R50" i="1"/>
  <c r="R74" i="1"/>
  <c r="R109" i="1"/>
  <c r="R129" i="1"/>
  <c r="R7" i="1"/>
  <c r="P139" i="1"/>
  <c r="P42" i="1"/>
  <c r="R22" i="1"/>
  <c r="R33" i="1"/>
  <c r="R39" i="1"/>
  <c r="R45" i="1"/>
  <c r="R154" i="1"/>
  <c r="P142" i="1"/>
  <c r="G169" i="1"/>
  <c r="O169" i="1"/>
  <c r="N169" i="1"/>
  <c r="G170" i="1"/>
  <c r="J170" i="1"/>
  <c r="P152" i="1"/>
  <c r="N170" i="1"/>
  <c r="P154" i="1"/>
  <c r="G168" i="1"/>
  <c r="P132" i="1"/>
  <c r="H168" i="1" s="1"/>
  <c r="R120" i="1"/>
  <c r="R121" i="1"/>
  <c r="R117" i="1"/>
  <c r="P123" i="1"/>
  <c r="P122" i="1"/>
  <c r="R118" i="1"/>
  <c r="P113" i="1"/>
  <c r="R112" i="1"/>
  <c r="R98" i="1"/>
  <c r="O167" i="1"/>
  <c r="P95" i="1"/>
  <c r="G167" i="1"/>
  <c r="R89" i="1"/>
  <c r="P90" i="1"/>
  <c r="P91" i="1"/>
  <c r="R96" i="1"/>
  <c r="P79" i="1"/>
  <c r="P81" i="1"/>
  <c r="P85" i="1"/>
  <c r="P66" i="1"/>
  <c r="G166" i="1"/>
  <c r="R68" i="1"/>
  <c r="P65" i="1"/>
  <c r="P71" i="1"/>
  <c r="R61" i="1"/>
  <c r="P63" i="1"/>
  <c r="R62" i="1"/>
  <c r="R58" i="1"/>
  <c r="P55" i="1"/>
  <c r="N166" i="1"/>
  <c r="P50" i="1"/>
  <c r="R43" i="1"/>
  <c r="P39" i="1"/>
  <c r="R34" i="1"/>
  <c r="P37" i="1"/>
  <c r="P38" i="1"/>
  <c r="P23" i="1"/>
  <c r="R27" i="1"/>
  <c r="P32" i="1"/>
  <c r="O165" i="1"/>
  <c r="R18" i="1"/>
  <c r="V158" i="1"/>
  <c r="P30" i="1"/>
  <c r="N165" i="1"/>
  <c r="P14" i="1"/>
  <c r="P12" i="1"/>
  <c r="R60" i="1"/>
  <c r="R57" i="1"/>
  <c r="P33" i="1"/>
  <c r="P13" i="1"/>
  <c r="P114" i="1"/>
  <c r="P80" i="1"/>
  <c r="P8" i="1"/>
  <c r="R82" i="1"/>
  <c r="R9" i="1"/>
  <c r="R17" i="1"/>
  <c r="P40" i="1"/>
  <c r="P44" i="1"/>
  <c r="J168" i="1"/>
  <c r="R111" i="1"/>
  <c r="P153" i="1"/>
  <c r="R93" i="1"/>
  <c r="R94" i="1"/>
  <c r="P26" i="1"/>
  <c r="P16" i="1"/>
  <c r="P20" i="1"/>
  <c r="J169" i="1"/>
  <c r="P53" i="1"/>
  <c r="R49" i="1"/>
  <c r="R125" i="1"/>
  <c r="R101" i="1"/>
  <c r="R77" i="1"/>
  <c r="R107" i="1"/>
  <c r="P74" i="1"/>
  <c r="P92" i="1"/>
  <c r="P36" i="1"/>
  <c r="P78" i="1"/>
  <c r="P83" i="1"/>
  <c r="O166" i="1"/>
  <c r="P126" i="1"/>
  <c r="P31" i="1"/>
  <c r="P106" i="1"/>
  <c r="T158" i="1"/>
  <c r="N167" i="1"/>
  <c r="O170" i="1"/>
  <c r="R73" i="1"/>
  <c r="R35" i="1"/>
  <c r="P116" i="1"/>
  <c r="R67" i="1"/>
  <c r="R156" i="1"/>
  <c r="P5" i="1"/>
  <c r="P22" i="1"/>
  <c r="P52" i="1"/>
  <c r="P100" i="1"/>
  <c r="N168" i="1"/>
  <c r="O168" i="1"/>
  <c r="J166" i="1"/>
  <c r="J165" i="1"/>
  <c r="P102" i="1"/>
  <c r="P124" i="1"/>
  <c r="R136" i="1"/>
  <c r="R10" i="4" l="1"/>
  <c r="P10" i="4"/>
  <c r="P12" i="4"/>
  <c r="R12" i="4"/>
  <c r="R14" i="4"/>
  <c r="P14" i="4"/>
  <c r="R160" i="1"/>
  <c r="R158" i="1"/>
  <c r="H169" i="1"/>
  <c r="I169" i="1" s="1"/>
  <c r="J167" i="1"/>
  <c r="J171" i="1" s="1"/>
  <c r="M169" i="1"/>
  <c r="K169" i="1" s="1"/>
  <c r="L169" i="1" s="1"/>
  <c r="H170" i="1"/>
  <c r="I170" i="1" s="1"/>
  <c r="I168" i="1"/>
  <c r="M170" i="1"/>
  <c r="K170" i="1" s="1"/>
  <c r="L170" i="1" s="1"/>
  <c r="M167" i="1"/>
  <c r="K167" i="1" s="1"/>
  <c r="G171" i="1"/>
  <c r="H166" i="1"/>
  <c r="I166" i="1" s="1"/>
  <c r="M166" i="1"/>
  <c r="K166" i="1" s="1"/>
  <c r="L166" i="1" s="1"/>
  <c r="N171" i="1"/>
  <c r="O171" i="1"/>
  <c r="M165" i="1"/>
  <c r="K165" i="1" s="1"/>
  <c r="H165" i="1"/>
  <c r="P158" i="1"/>
  <c r="H167" i="1"/>
  <c r="I167" i="1" s="1"/>
  <c r="M168" i="1"/>
  <c r="K168" i="1" s="1"/>
  <c r="L168" i="1" s="1"/>
  <c r="R159" i="1" l="1"/>
  <c r="P16" i="4"/>
  <c r="R16" i="4"/>
  <c r="L167" i="1"/>
  <c r="H171" i="1"/>
  <c r="I165" i="1"/>
  <c r="I171" i="1" s="1"/>
  <c r="M171" i="1"/>
  <c r="L165" i="1"/>
  <c r="K171" i="1"/>
  <c r="V21" i="4" l="1"/>
  <c r="V25" i="4" s="1"/>
  <c r="V55" i="4" s="1"/>
  <c r="L171" i="1"/>
</calcChain>
</file>

<file path=xl/comments1.xml><?xml version="1.0" encoding="utf-8"?>
<comments xmlns="http://schemas.openxmlformats.org/spreadsheetml/2006/main">
  <authors>
    <author>USER</author>
  </authors>
  <commentList>
    <comment ref="E2" authorId="0">
      <text>
        <r>
          <rPr>
            <b/>
            <sz val="16"/>
            <color indexed="81"/>
            <rFont val="細明體"/>
            <family val="3"/>
            <charset val="136"/>
          </rPr>
          <t>粉紅色格子為必填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細明體"/>
            <family val="3"/>
            <charset val="136"/>
          </rPr>
          <t>請輸入版本或從儲存格右下角三角按鈕選取。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8" authorId="0">
      <text>
        <r>
          <rPr>
            <b/>
            <sz val="18"/>
            <color indexed="81"/>
            <rFont val="細明體"/>
            <family val="3"/>
            <charset val="136"/>
          </rPr>
          <t>無此需求者免填</t>
        </r>
      </text>
    </comment>
    <comment ref="C39" authorId="0">
      <text>
        <r>
          <rPr>
            <b/>
            <sz val="9"/>
            <color indexed="81"/>
            <rFont val="細明體"/>
            <family val="3"/>
            <charset val="136"/>
          </rPr>
          <t>請輸入版本或從儲存格右下角三角按鈕選取。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34" authorId="0">
      <text>
        <r>
          <rPr>
            <b/>
            <sz val="20"/>
            <color indexed="81"/>
            <rFont val="細明體"/>
            <family val="3"/>
            <charset val="136"/>
          </rPr>
          <t>請不要從「第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列和最後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列」
新增列數，避免影響公式計算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N1" authorId="0">
      <text>
        <r>
          <rPr>
            <b/>
            <sz val="12"/>
            <color indexed="81"/>
            <rFont val="細明體"/>
            <family val="3"/>
            <charset val="136"/>
          </rPr>
          <t>為避免重複補助已扣除教育部教科書部分補助</t>
        </r>
      </text>
    </comment>
  </commentList>
</comments>
</file>

<file path=xl/sharedStrings.xml><?xml version="1.0" encoding="utf-8"?>
<sst xmlns="http://schemas.openxmlformats.org/spreadsheetml/2006/main" count="1665" uniqueCount="277">
  <si>
    <t>出版商</t>
  </si>
  <si>
    <t>書名</t>
  </si>
  <si>
    <t>冊別</t>
  </si>
  <si>
    <t>學校用書
需求(本)</t>
  </si>
  <si>
    <t>樣書
(本)</t>
  </si>
  <si>
    <t>學校補助
(本)</t>
  </si>
  <si>
    <t>學校單本
補助價格</t>
  </si>
  <si>
    <t>學校補助
金額小計</t>
  </si>
  <si>
    <t>康軒</t>
  </si>
  <si>
    <t>第二冊</t>
  </si>
  <si>
    <t>第四冊</t>
  </si>
  <si>
    <t>翰林</t>
  </si>
  <si>
    <t>南一</t>
  </si>
  <si>
    <t>佳音</t>
  </si>
  <si>
    <t>奇鼎</t>
  </si>
  <si>
    <t>全華</t>
  </si>
  <si>
    <t>第一冊</t>
  </si>
  <si>
    <t>第三冊</t>
  </si>
  <si>
    <t>學校補助
金額合計</t>
  </si>
  <si>
    <t>學生補助
金額合計</t>
  </si>
  <si>
    <t>抬頭1</t>
  </si>
  <si>
    <t>抬頭2</t>
  </si>
  <si>
    <t>花蓮縣縣立玉里國中學校與學生用書補助統計</t>
  </si>
  <si>
    <t>縣補助及花東書籍費補助價格</t>
    <phoneticPr fontId="3" type="noConversion"/>
  </si>
  <si>
    <t>花東書籍費補助(本)</t>
    <phoneticPr fontId="3" type="noConversion"/>
  </si>
  <si>
    <t>花東書籍費補助金額小計</t>
    <phoneticPr fontId="3" type="noConversion"/>
  </si>
  <si>
    <t>特教生使用一般版本教科書補助金額小計</t>
    <phoneticPr fontId="3" type="noConversion"/>
  </si>
  <si>
    <t>花東書籍費補助金額合計</t>
    <phoneticPr fontId="3" type="noConversion"/>
  </si>
  <si>
    <t>審定本</t>
    <phoneticPr fontId="3" type="noConversion"/>
  </si>
  <si>
    <t>藝能科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</si>
  <si>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</si>
  <si>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</si>
  <si>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</si>
  <si>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E</t>
    <phoneticPr fontId="3" type="noConversion"/>
  </si>
  <si>
    <t>D</t>
    <phoneticPr fontId="3" type="noConversion"/>
  </si>
  <si>
    <t>F</t>
    <phoneticPr fontId="3" type="noConversion"/>
  </si>
  <si>
    <t>G</t>
    <phoneticPr fontId="3" type="noConversion"/>
  </si>
  <si>
    <t>H</t>
    <phoneticPr fontId="3" type="noConversion"/>
  </si>
  <si>
    <t>I</t>
    <phoneticPr fontId="3" type="noConversion"/>
  </si>
  <si>
    <t>J</t>
    <phoneticPr fontId="3" type="noConversion"/>
  </si>
  <si>
    <t>K</t>
    <phoneticPr fontId="3" type="noConversion"/>
  </si>
  <si>
    <t>L</t>
    <phoneticPr fontId="3" type="noConversion"/>
  </si>
  <si>
    <t>M</t>
    <phoneticPr fontId="3" type="noConversion"/>
  </si>
  <si>
    <t>N</t>
    <phoneticPr fontId="3" type="noConversion"/>
  </si>
  <si>
    <t>O</t>
    <phoneticPr fontId="3" type="noConversion"/>
  </si>
  <si>
    <t>=A-B</t>
    <phoneticPr fontId="3" type="noConversion"/>
  </si>
  <si>
    <t>=C*D</t>
    <phoneticPr fontId="3" type="noConversion"/>
  </si>
  <si>
    <t>=F*G</t>
    <phoneticPr fontId="3" type="noConversion"/>
  </si>
  <si>
    <t>=D-G</t>
    <phoneticPr fontId="3" type="noConversion"/>
  </si>
  <si>
    <t>自填</t>
    <phoneticPr fontId="3" type="noConversion"/>
  </si>
  <si>
    <t>=I*J</t>
    <phoneticPr fontId="3" type="noConversion"/>
  </si>
  <si>
    <t>=F-J</t>
    <phoneticPr fontId="3" type="noConversion"/>
  </si>
  <si>
    <t>=D*N</t>
    <phoneticPr fontId="3" type="noConversion"/>
  </si>
  <si>
    <t>教師用及行政留存</t>
    <phoneticPr fontId="3" type="noConversion"/>
  </si>
  <si>
    <t>原價</t>
    <phoneticPr fontId="3" type="noConversion"/>
  </si>
  <si>
    <t>低收入戶及中低收入戶學生</t>
    <phoneticPr fontId="3" type="noConversion"/>
  </si>
  <si>
    <t>一般生</t>
    <phoneticPr fontId="3" type="noConversion"/>
  </si>
  <si>
    <t>請學校自填，單本補助以原價計</t>
    <phoneticPr fontId="3" type="noConversion"/>
  </si>
  <si>
    <t>P</t>
    <phoneticPr fontId="3" type="noConversion"/>
  </si>
  <si>
    <t>Q</t>
    <phoneticPr fontId="3" type="noConversion"/>
  </si>
  <si>
    <t>自填</t>
    <phoneticPr fontId="3" type="noConversion"/>
  </si>
  <si>
    <t>=D*P</t>
    <phoneticPr fontId="3" type="noConversion"/>
  </si>
  <si>
    <t>補校生補助(本)</t>
    <phoneticPr fontId="3" type="noConversion"/>
  </si>
  <si>
    <t>補校生補助金額小計</t>
    <phoneticPr fontId="3" type="noConversion"/>
  </si>
  <si>
    <t xml:space="preserve">康軒 </t>
    <phoneticPr fontId="6" type="noConversion"/>
  </si>
  <si>
    <t xml:space="preserve">翰林 </t>
    <phoneticPr fontId="6" type="noConversion"/>
  </si>
  <si>
    <t xml:space="preserve">佳音 </t>
    <phoneticPr fontId="6" type="noConversion"/>
  </si>
  <si>
    <t xml:space="preserve">全華 </t>
    <phoneticPr fontId="6" type="noConversion"/>
  </si>
  <si>
    <t xml:space="preserve">南一 </t>
    <phoneticPr fontId="6" type="noConversion"/>
  </si>
  <si>
    <t xml:space="preserve">奇鼎 </t>
    <phoneticPr fontId="6" type="noConversion"/>
  </si>
  <si>
    <t>=I*L</t>
    <phoneticPr fontId="3" type="noConversion"/>
  </si>
  <si>
    <t>一般生金額合計</t>
    <phoneticPr fontId="3" type="noConversion"/>
  </si>
  <si>
    <t>特教生使用一般版本教科書(本)外加</t>
    <phoneticPr fontId="3" type="noConversion"/>
  </si>
  <si>
    <t>特教生使用一般版本教科書合計</t>
    <phoneticPr fontId="3" type="noConversion"/>
  </si>
  <si>
    <t>補校生補助合計</t>
    <phoneticPr fontId="3" type="noConversion"/>
  </si>
  <si>
    <t>版本</t>
    <phoneticPr fontId="3" type="noConversion"/>
  </si>
  <si>
    <t>第_列</t>
    <phoneticPr fontId="3" type="noConversion"/>
  </si>
  <si>
    <t>合計</t>
    <phoneticPr fontId="3" type="noConversion"/>
  </si>
  <si>
    <t>花東書籍費與學生用書分攤金額</t>
    <phoneticPr fontId="3" type="noConversion"/>
  </si>
  <si>
    <t>縣補助與學生用書分攤金額</t>
    <phoneticPr fontId="3" type="noConversion"/>
  </si>
  <si>
    <t>=G*J</t>
    <phoneticPr fontId="3" type="noConversion"/>
  </si>
  <si>
    <t>=G*L</t>
    <phoneticPr fontId="3" type="noConversion"/>
  </si>
  <si>
    <t>花東書籍費</t>
    <phoneticPr fontId="3" type="noConversion"/>
  </si>
  <si>
    <t>審定本與藝能科給付書商金額</t>
    <phoneticPr fontId="3" type="noConversion"/>
  </si>
  <si>
    <t>說明</t>
    <phoneticPr fontId="3" type="noConversion"/>
  </si>
  <si>
    <t>公式</t>
    <phoneticPr fontId="3" type="noConversion"/>
  </si>
  <si>
    <t>定位用</t>
    <phoneticPr fontId="3" type="noConversion"/>
  </si>
  <si>
    <t>↑單一筆給付書商</t>
    <phoneticPr fontId="3" type="noConversion"/>
  </si>
  <si>
    <t>學生用書</t>
    <phoneticPr fontId="3" type="noConversion"/>
  </si>
  <si>
    <t>↑花東書籍費和審定本與藝能科的一部分</t>
    <phoneticPr fontId="3" type="noConversion"/>
  </si>
  <si>
    <t>審定本與藝能科補助(本)</t>
    <phoneticPr fontId="3" type="noConversion"/>
  </si>
  <si>
    <t>審定本與藝能科補助金額小計</t>
    <phoneticPr fontId="3" type="noConversion"/>
  </si>
  <si>
    <t>學生用書補助
(本)</t>
    <phoneticPr fontId="3" type="noConversion"/>
  </si>
  <si>
    <t>學生用書補助金額小計</t>
    <phoneticPr fontId="3" type="noConversion"/>
  </si>
  <si>
    <t>學生用書單本補助價格</t>
    <phoneticPr fontId="3" type="noConversion"/>
  </si>
  <si>
    <t>花東書籍費支出分攤</t>
    <phoneticPr fontId="3" type="noConversion"/>
  </si>
  <si>
    <t>一般生</t>
    <phoneticPr fontId="3" type="noConversion"/>
  </si>
  <si>
    <t>審定本與藝能科</t>
  </si>
  <si>
    <t>審定本與藝能科個別</t>
    <phoneticPr fontId="3" type="noConversion"/>
  </si>
  <si>
    <t>國文</t>
    <phoneticPr fontId="10" type="noConversion"/>
  </si>
  <si>
    <t>數學</t>
    <phoneticPr fontId="10" type="noConversion"/>
  </si>
  <si>
    <t>社會</t>
    <phoneticPr fontId="10" type="noConversion"/>
  </si>
  <si>
    <t>自然科學</t>
    <phoneticPr fontId="10" type="noConversion"/>
  </si>
  <si>
    <t>英語</t>
    <phoneticPr fontId="10" type="noConversion"/>
  </si>
  <si>
    <t>健體</t>
    <phoneticPr fontId="10" type="noConversion"/>
  </si>
  <si>
    <t>綜合</t>
    <phoneticPr fontId="10" type="noConversion"/>
  </si>
  <si>
    <t>藝術</t>
    <phoneticPr fontId="10" type="noConversion"/>
  </si>
  <si>
    <t>課本</t>
    <phoneticPr fontId="10" type="noConversion"/>
  </si>
  <si>
    <t>習作</t>
    <phoneticPr fontId="10" type="noConversion"/>
  </si>
  <si>
    <t>習作</t>
    <phoneticPr fontId="10" type="noConversion"/>
  </si>
  <si>
    <t>課本</t>
    <phoneticPr fontId="10" type="noConversion"/>
  </si>
  <si>
    <t>習作</t>
    <phoneticPr fontId="10" type="noConversion"/>
  </si>
  <si>
    <t>課本</t>
    <phoneticPr fontId="10" type="noConversion"/>
  </si>
  <si>
    <t>課本</t>
    <phoneticPr fontId="10" type="noConversion"/>
  </si>
  <si>
    <t>七年級</t>
    <phoneticPr fontId="10" type="noConversion"/>
  </si>
  <si>
    <t>八年級</t>
    <phoneticPr fontId="10" type="noConversion"/>
  </si>
  <si>
    <t>九年級</t>
    <phoneticPr fontId="10" type="noConversion"/>
  </si>
  <si>
    <t>2.統計表正本及原始憑證留校備查。</t>
    <phoneticPr fontId="10" type="noConversion"/>
  </si>
  <si>
    <t>承辦人：</t>
    <phoneticPr fontId="10" type="noConversion"/>
  </si>
  <si>
    <t>教務(導)主任：</t>
    <phoneticPr fontId="10" type="noConversion"/>
  </si>
  <si>
    <t>會計人員：</t>
    <phoneticPr fontId="10" type="noConversion"/>
  </si>
  <si>
    <t>校長：</t>
    <phoneticPr fontId="10" type="noConversion"/>
  </si>
  <si>
    <t>特教生</t>
    <phoneticPr fontId="3" type="noConversion"/>
  </si>
  <si>
    <t>補校生</t>
    <phoneticPr fontId="3" type="noConversion"/>
  </si>
  <si>
    <t>花東書籍費給付書商金額</t>
    <phoneticPr fontId="3" type="noConversion"/>
  </si>
  <si>
    <t>5-49列</t>
    <phoneticPr fontId="3" type="noConversion"/>
  </si>
  <si>
    <t>50-88列</t>
    <phoneticPr fontId="3" type="noConversion"/>
  </si>
  <si>
    <t>131-136列</t>
    <phoneticPr fontId="3" type="noConversion"/>
  </si>
  <si>
    <t>89-130列</t>
    <phoneticPr fontId="3" type="noConversion"/>
  </si>
  <si>
    <t>翰林</t>
    <phoneticPr fontId="6" type="noConversion"/>
  </si>
  <si>
    <t>南一</t>
    <phoneticPr fontId="6" type="noConversion"/>
  </si>
  <si>
    <t>奇鼎</t>
    <phoneticPr fontId="6" type="noConversion"/>
  </si>
  <si>
    <t>國文</t>
  </si>
  <si>
    <t>數學</t>
  </si>
  <si>
    <t>社會</t>
  </si>
  <si>
    <t>自然科學</t>
  </si>
  <si>
    <t>健康與體育</t>
  </si>
  <si>
    <t>綜合活動</t>
  </si>
  <si>
    <t>藝術</t>
  </si>
  <si>
    <t>國中英語</t>
  </si>
  <si>
    <t>科技</t>
  </si>
  <si>
    <t>類別</t>
  </si>
  <si>
    <t>課本</t>
  </si>
  <si>
    <t>習作</t>
  </si>
  <si>
    <r>
      <rPr>
        <sz val="12"/>
        <rFont val="標楷體"/>
        <family val="4"/>
        <charset val="136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>)</t>
    </r>
  </si>
  <si>
    <t>年級</t>
    <phoneticPr fontId="3" type="noConversion"/>
  </si>
  <si>
    <t>無</t>
    <phoneticPr fontId="6" type="noConversion"/>
  </si>
  <si>
    <t>國中</t>
    <phoneticPr fontId="3" type="noConversion"/>
  </si>
  <si>
    <t>本表供參，可自行修改</t>
    <phoneticPr fontId="3" type="noConversion"/>
  </si>
  <si>
    <t>男</t>
    <phoneticPr fontId="3" type="noConversion"/>
  </si>
  <si>
    <t>女</t>
    <phoneticPr fontId="3" type="noConversion"/>
  </si>
  <si>
    <t>合計</t>
    <phoneticPr fontId="3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</si>
  <si>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3" type="noConversion"/>
  </si>
  <si>
    <t>班級</t>
    <phoneticPr fontId="3" type="noConversion"/>
  </si>
  <si>
    <t>導師姓名</t>
    <phoneticPr fontId="3" type="noConversion"/>
  </si>
  <si>
    <t>學生姓名</t>
    <phoneticPr fontId="3" type="noConversion"/>
  </si>
  <si>
    <t>性別
(是=1,否=0)</t>
    <phoneticPr fontId="3" type="noConversion"/>
  </si>
  <si>
    <t>學生身分
(是=1,否=0)</t>
    <phoneticPr fontId="3" type="noConversion"/>
  </si>
  <si>
    <t>低收</t>
    <phoneticPr fontId="3" type="noConversion"/>
  </si>
  <si>
    <t>中低收</t>
    <phoneticPr fontId="3" type="noConversion"/>
  </si>
  <si>
    <t>(自行增列)</t>
    <phoneticPr fontId="3" type="noConversion"/>
  </si>
  <si>
    <t>註.有關「學生身分別」欄，請擇一身分統計，切勿重複。</t>
    <phoneticPr fontId="3" type="noConversion"/>
  </si>
  <si>
    <t>編號</t>
  </si>
  <si>
    <t>花東書籍費及縣補助</t>
  </si>
  <si>
    <t>教育部補助(學生用書)</t>
  </si>
  <si>
    <t>第六冊</t>
  </si>
  <si>
    <t>康軒</t>
    <phoneticPr fontId="6" type="noConversion"/>
  </si>
  <si>
    <t>補助對象：本縣公立國民中小學之學生。</t>
    <phoneticPr fontId="10" type="noConversion"/>
  </si>
  <si>
    <t>審定本與藝能科
支出分攤</t>
    <phoneticPr fontId="3" type="noConversion"/>
  </si>
  <si>
    <t>年級</t>
    <phoneticPr fontId="3" type="noConversion"/>
  </si>
  <si>
    <t>第五冊</t>
  </si>
  <si>
    <t>137-142列</t>
    <phoneticPr fontId="3" type="noConversion"/>
  </si>
  <si>
    <t>143-157列</t>
    <phoneticPr fontId="3" type="noConversion"/>
  </si>
  <si>
    <t>基本資料</t>
    <phoneticPr fontId="58" type="noConversion"/>
  </si>
  <si>
    <t>學校名稱</t>
    <phoneticPr fontId="58" type="noConversion"/>
  </si>
  <si>
    <t>年級</t>
    <phoneticPr fontId="58" type="noConversion"/>
  </si>
  <si>
    <t>合計</t>
    <phoneticPr fontId="58" type="noConversion"/>
  </si>
  <si>
    <t>年級人數</t>
    <phoneticPr fontId="58" type="noConversion"/>
  </si>
  <si>
    <t>低收入戶及中低收入戶人數</t>
    <phoneticPr fontId="58" type="noConversion"/>
  </si>
  <si>
    <t>審定本補助人數</t>
    <phoneticPr fontId="58" type="noConversion"/>
  </si>
  <si>
    <t>花東書籍費補助基本資料</t>
    <phoneticPr fontId="58" type="noConversion"/>
  </si>
  <si>
    <t>花東補助學生身分別資料</t>
    <phoneticPr fontId="58" type="noConversion"/>
  </si>
  <si>
    <t>低收入戶</t>
    <phoneticPr fontId="58" type="noConversion"/>
  </si>
  <si>
    <t>中低收入戶</t>
    <phoneticPr fontId="58" type="noConversion"/>
  </si>
  <si>
    <t>全校學生數</t>
    <phoneticPr fontId="58" type="noConversion"/>
  </si>
  <si>
    <t>男</t>
    <phoneticPr fontId="58" type="noConversion"/>
  </si>
  <si>
    <t>女</t>
    <phoneticPr fontId="58" type="noConversion"/>
  </si>
  <si>
    <t>合計</t>
    <phoneticPr fontId="58" type="noConversion"/>
  </si>
  <si>
    <t>男</t>
    <phoneticPr fontId="58" type="noConversion"/>
  </si>
  <si>
    <t>審定本</t>
    <phoneticPr fontId="10" type="noConversion"/>
  </si>
  <si>
    <t>藝能科</t>
    <phoneticPr fontId="58" type="noConversion"/>
  </si>
  <si>
    <t>每人補助金額</t>
    <phoneticPr fontId="10" type="noConversion"/>
  </si>
  <si>
    <t>數量</t>
  </si>
  <si>
    <t>數量</t>
    <phoneticPr fontId="10" type="noConversion"/>
  </si>
  <si>
    <t>小計</t>
    <phoneticPr fontId="10" type="noConversion"/>
  </si>
  <si>
    <t>七年級</t>
    <phoneticPr fontId="58" type="noConversion"/>
  </si>
  <si>
    <t>八年級</t>
    <phoneticPr fontId="58" type="noConversion"/>
  </si>
  <si>
    <t>九年級</t>
    <phoneticPr fontId="58" type="noConversion"/>
  </si>
  <si>
    <t>科技1</t>
    <phoneticPr fontId="10" type="noConversion"/>
  </si>
  <si>
    <t>課本</t>
    <phoneticPr fontId="10" type="noConversion"/>
  </si>
  <si>
    <t>習作</t>
    <phoneticPr fontId="10" type="noConversion"/>
  </si>
  <si>
    <t>科技2</t>
    <phoneticPr fontId="10" type="noConversion"/>
  </si>
  <si>
    <t>合計</t>
    <phoneticPr fontId="10" type="noConversion"/>
  </si>
  <si>
    <t>花蓮縣111學年度第1學期公立國民中學教科書(縣補助及花東書籍費)補助金額統計表</t>
    <phoneticPr fontId="10" type="noConversion"/>
  </si>
  <si>
    <t>全校班級數</t>
    <phoneticPr fontId="3" type="noConversion"/>
  </si>
  <si>
    <r>
      <t>審定本補助
小計</t>
    </r>
    <r>
      <rPr>
        <b/>
        <sz val="12"/>
        <color rgb="FF0000FF"/>
        <rFont val="新細明體"/>
        <family val="1"/>
        <charset val="136"/>
      </rPr>
      <t>(A)</t>
    </r>
    <phoneticPr fontId="10" type="noConversion"/>
  </si>
  <si>
    <r>
      <rPr>
        <b/>
        <sz val="12"/>
        <color theme="1"/>
        <rFont val="新細明體"/>
        <family val="1"/>
        <charset val="136"/>
      </rPr>
      <t>花東書籍費</t>
    </r>
    <r>
      <rPr>
        <sz val="12"/>
        <color theme="1"/>
        <rFont val="新細明體"/>
        <family val="1"/>
        <charset val="136"/>
      </rPr>
      <t xml:space="preserve">
補助小計</t>
    </r>
    <phoneticPr fontId="10" type="noConversion"/>
  </si>
  <si>
    <r>
      <rPr>
        <sz val="12"/>
        <color rgb="FF0000FF"/>
        <rFont val="新細明體"/>
        <family val="1"/>
        <charset val="136"/>
      </rPr>
      <t>特教生/補校生</t>
    </r>
    <r>
      <rPr>
        <sz val="12"/>
        <rFont val="新細明體"/>
        <family val="1"/>
        <charset val="136"/>
      </rPr>
      <t>使用
審定本教科書
補助金額</t>
    </r>
    <r>
      <rPr>
        <b/>
        <sz val="12"/>
        <color rgb="FF0000FF"/>
        <rFont val="新細明體"/>
        <family val="1"/>
        <charset val="136"/>
      </rPr>
      <t>(B)</t>
    </r>
    <phoneticPr fontId="10" type="noConversion"/>
  </si>
  <si>
    <r>
      <t xml:space="preserve">縣補助總計
</t>
    </r>
    <r>
      <rPr>
        <b/>
        <sz val="12"/>
        <color rgb="FF0000FF"/>
        <rFont val="新細明體"/>
        <family val="1"/>
        <charset val="136"/>
      </rPr>
      <t>(A)+(B)+(C)</t>
    </r>
    <phoneticPr fontId="10" type="noConversion"/>
  </si>
  <si>
    <r>
      <t>花東</t>
    </r>
    <r>
      <rPr>
        <b/>
        <sz val="16"/>
        <color rgb="FFFF0000"/>
        <rFont val="新細明體"/>
        <family val="1"/>
        <charset val="136"/>
      </rPr>
      <t>A表</t>
    </r>
    <phoneticPr fontId="58" type="noConversion"/>
  </si>
  <si>
    <r>
      <rPr>
        <sz val="11.5"/>
        <rFont val="標楷體"/>
        <family val="4"/>
      </rPr>
      <t>國文</t>
    </r>
  </si>
  <si>
    <r>
      <rPr>
        <sz val="11.5"/>
        <rFont val="標楷體"/>
        <family val="4"/>
      </rPr>
      <t>課本</t>
    </r>
  </si>
  <si>
    <r>
      <rPr>
        <sz val="11.5"/>
        <rFont val="標楷體"/>
        <family val="4"/>
      </rPr>
      <t>習作</t>
    </r>
  </si>
  <si>
    <r>
      <rPr>
        <sz val="11.5"/>
        <rFont val="標楷體"/>
        <family val="4"/>
      </rPr>
      <t>數學</t>
    </r>
  </si>
  <si>
    <r>
      <rPr>
        <sz val="11.5"/>
        <rFont val="標楷體"/>
        <family val="4"/>
      </rPr>
      <t>社會</t>
    </r>
  </si>
  <si>
    <r>
      <rPr>
        <sz val="11.5"/>
        <rFont val="標楷體"/>
        <family val="4"/>
      </rPr>
      <t>自然科學</t>
    </r>
  </si>
  <si>
    <r>
      <rPr>
        <sz val="11.5"/>
        <rFont val="標楷體"/>
        <family val="4"/>
      </rPr>
      <t>健康與體育</t>
    </r>
  </si>
  <si>
    <r>
      <rPr>
        <sz val="11.5"/>
        <rFont val="標楷體"/>
        <family val="4"/>
      </rPr>
      <t>綜合活動</t>
    </r>
  </si>
  <si>
    <r>
      <rPr>
        <sz val="11.5"/>
        <rFont val="標楷體"/>
        <family val="4"/>
      </rPr>
      <t>藝術</t>
    </r>
  </si>
  <si>
    <r>
      <rPr>
        <sz val="11.5"/>
        <rFont val="標楷體"/>
        <family val="4"/>
      </rPr>
      <t>國中英語</t>
    </r>
  </si>
  <si>
    <r>
      <rPr>
        <sz val="11.5"/>
        <rFont val="標楷體"/>
        <family val="4"/>
      </rPr>
      <t>科技</t>
    </r>
  </si>
  <si>
    <t>學習領域(科)</t>
  </si>
  <si>
    <r>
      <rPr>
        <sz val="11.5"/>
        <rFont val="標楷體"/>
        <family val="4"/>
        <charset val="136"/>
      </rPr>
      <t>適用
年級</t>
    </r>
  </si>
  <si>
    <r>
      <rPr>
        <sz val="11.5"/>
        <rFont val="標楷體"/>
        <family val="4"/>
        <charset val="136"/>
      </rPr>
      <t>單本
價格</t>
    </r>
  </si>
  <si>
    <t>-</t>
  </si>
  <si>
    <t>111學年度第1學期教科圖書各版本單價表(國中)</t>
    <phoneticPr fontId="3" type="noConversion"/>
  </si>
  <si>
    <t>版本</t>
    <phoneticPr fontId="3" type="noConversion"/>
  </si>
  <si>
    <t>金額</t>
  </si>
  <si>
    <t>金額</t>
    <phoneticPr fontId="3" type="noConversion"/>
  </si>
  <si>
    <t>佳音</t>
    <phoneticPr fontId="6" type="noConversion"/>
  </si>
  <si>
    <t>全華</t>
    <phoneticPr fontId="6" type="noConversion"/>
  </si>
  <si>
    <t>國文課本</t>
  </si>
  <si>
    <t>國文習作</t>
  </si>
  <si>
    <t>數學課本</t>
  </si>
  <si>
    <t>數學習作</t>
  </si>
  <si>
    <t>社會課本</t>
  </si>
  <si>
    <t>社會習作</t>
  </si>
  <si>
    <t>自然科學課本</t>
  </si>
  <si>
    <t>自然科學習作</t>
  </si>
  <si>
    <t>健康與體育課本</t>
  </si>
  <si>
    <t>綜合活動課本</t>
  </si>
  <si>
    <t>藝術課本</t>
  </si>
  <si>
    <t>英語課本</t>
  </si>
  <si>
    <t>英語習作</t>
  </si>
  <si>
    <t>科技課本</t>
  </si>
  <si>
    <t>科技習作</t>
  </si>
  <si>
    <t>自然科學活動紀錄簿</t>
  </si>
  <si>
    <t>科技活動紀錄簿</t>
  </si>
  <si>
    <t>科技活動手冊</t>
  </si>
  <si>
    <t xml:space="preserve">    科目
年級</t>
    <phoneticPr fontId="3" type="noConversion"/>
  </si>
  <si>
    <t>　科目
年級</t>
    <phoneticPr fontId="3" type="noConversion"/>
  </si>
  <si>
    <t>111學年度第1學期補助「花東地區接受義務教育學生書籍費」</t>
    <phoneticPr fontId="3" type="noConversion"/>
  </si>
  <si>
    <t>康軒111J001</t>
    <phoneticPr fontId="3" type="noConversion"/>
  </si>
  <si>
    <t>翰林111J002</t>
    <phoneticPr fontId="3" type="noConversion"/>
  </si>
  <si>
    <t>南一111J003</t>
    <phoneticPr fontId="3" type="noConversion"/>
  </si>
  <si>
    <t>佳音111J004</t>
    <phoneticPr fontId="3" type="noConversion"/>
  </si>
  <si>
    <t>奇鼎111J005</t>
    <phoneticPr fontId="3" type="noConversion"/>
  </si>
  <si>
    <t>全華111J006</t>
    <phoneticPr fontId="3" type="noConversion"/>
  </si>
  <si>
    <t>教育部教科書部分補助</t>
    <phoneticPr fontId="3" type="noConversion"/>
  </si>
  <si>
    <t>為避免重複補助已扣除教育部教科書部分補助</t>
    <phoneticPr fontId="3" type="noConversion"/>
  </si>
  <si>
    <r>
      <rPr>
        <b/>
        <sz val="12"/>
        <rFont val="新細明體"/>
        <family val="1"/>
        <charset val="136"/>
      </rPr>
      <t>審定本</t>
    </r>
    <r>
      <rPr>
        <sz val="12"/>
        <rFont val="新細明體"/>
        <family val="1"/>
        <charset val="136"/>
      </rPr>
      <t>補助總計</t>
    </r>
    <r>
      <rPr>
        <b/>
        <sz val="12"/>
        <color rgb="FF0000FF"/>
        <rFont val="新細明體"/>
        <family val="1"/>
        <charset val="136"/>
      </rPr>
      <t>(A)+(B)</t>
    </r>
    <phoneticPr fontId="10" type="noConversion"/>
  </si>
  <si>
    <r>
      <rPr>
        <b/>
        <sz val="12"/>
        <rFont val="新細明體"/>
        <family val="1"/>
        <charset val="136"/>
      </rPr>
      <t>藝能科</t>
    </r>
    <r>
      <rPr>
        <sz val="12"/>
        <rFont val="新細明體"/>
        <family val="1"/>
        <charset val="136"/>
      </rPr>
      <t xml:space="preserve">補助總計
</t>
    </r>
    <r>
      <rPr>
        <b/>
        <sz val="12"/>
        <color rgb="FF0000FF"/>
        <rFont val="新細明體"/>
        <family val="1"/>
        <charset val="136"/>
      </rPr>
      <t>(C)</t>
    </r>
    <phoneticPr fontId="10" type="noConversion"/>
  </si>
  <si>
    <t>1.請將本表列印核章後，於111年9月16日(星期五)中午前，掃描上傳至校務系統(電子檔也需要)。</t>
  </si>
  <si>
    <t>學校用書及學生用書補助金額小計</t>
    <phoneticPr fontId="3" type="noConversion"/>
  </si>
  <si>
    <t>版本</t>
  </si>
  <si>
    <t>補助版本：經教育部採購議價通過之審定本及藝能科教科書。</t>
  </si>
  <si>
    <t>3.本統計表各版本單價已預先扣除教育部補助公立學校學生用書金額。</t>
  </si>
  <si>
    <t xml:space="preserve"> </t>
    <phoneticPr fontId="10" type="noConversion"/>
  </si>
  <si>
    <r>
      <rPr>
        <b/>
        <sz val="11"/>
        <color theme="1"/>
        <rFont val="新細明體"/>
        <family val="1"/>
        <charset val="136"/>
      </rPr>
      <t>學生用書</t>
    </r>
    <r>
      <rPr>
        <sz val="11"/>
        <color theme="1"/>
        <rFont val="新細明體"/>
        <family val="1"/>
        <charset val="136"/>
      </rPr>
      <t>每人補助金額</t>
    </r>
    <phoneticPr fontId="10" type="noConversion"/>
  </si>
  <si>
    <r>
      <t>審定本</t>
    </r>
    <r>
      <rPr>
        <b/>
        <sz val="12"/>
        <color theme="1"/>
        <rFont val="新細明體"/>
        <family val="1"/>
        <charset val="136"/>
      </rPr>
      <t>學生用書</t>
    </r>
    <r>
      <rPr>
        <sz val="12"/>
        <color theme="1"/>
        <rFont val="新細明體"/>
        <family val="1"/>
        <charset val="136"/>
      </rPr>
      <t>分攤小計</t>
    </r>
    <r>
      <rPr>
        <b/>
        <sz val="12"/>
        <color rgb="FF0000FF"/>
        <rFont val="新細明體"/>
        <family val="1"/>
        <charset val="136"/>
      </rPr>
      <t>(A)</t>
    </r>
    <phoneticPr fontId="10" type="noConversion"/>
  </si>
  <si>
    <r>
      <t>花東書籍費</t>
    </r>
    <r>
      <rPr>
        <b/>
        <sz val="9"/>
        <color theme="1"/>
        <rFont val="新細明體"/>
        <family val="1"/>
        <charset val="136"/>
      </rPr>
      <t>學生用書</t>
    </r>
    <r>
      <rPr>
        <sz val="9"/>
        <color theme="1"/>
        <rFont val="新細明體"/>
        <family val="1"/>
        <charset val="136"/>
      </rPr>
      <t>分攤小計</t>
    </r>
    <phoneticPr fontId="10" type="noConversion"/>
  </si>
  <si>
    <t>學生用書總計(本表無須列印核章)</t>
    <phoneticPr fontId="10" type="noConversion"/>
  </si>
  <si>
    <r>
      <t>審定本</t>
    </r>
    <r>
      <rPr>
        <b/>
        <sz val="12"/>
        <rFont val="新細明體"/>
        <family val="1"/>
        <charset val="136"/>
      </rPr>
      <t>學生用書</t>
    </r>
    <r>
      <rPr>
        <sz val="12"/>
        <rFont val="新細明體"/>
        <family val="1"/>
        <charset val="136"/>
      </rPr>
      <t>分攤總計</t>
    </r>
    <phoneticPr fontId="10" type="noConversion"/>
  </si>
  <si>
    <r>
      <t>藝能科</t>
    </r>
    <r>
      <rPr>
        <b/>
        <sz val="12"/>
        <rFont val="新細明體"/>
        <family val="1"/>
        <charset val="136"/>
      </rPr>
      <t>學生用書</t>
    </r>
    <r>
      <rPr>
        <sz val="12"/>
        <rFont val="新細明體"/>
        <family val="1"/>
        <charset val="136"/>
      </rPr>
      <t>分攤總計</t>
    </r>
    <phoneticPr fontId="10" type="noConversion"/>
  </si>
  <si>
    <r>
      <t>花東書籍費</t>
    </r>
    <r>
      <rPr>
        <b/>
        <sz val="12"/>
        <rFont val="新細明體"/>
        <family val="1"/>
        <charset val="136"/>
      </rPr>
      <t>學生用書</t>
    </r>
    <r>
      <rPr>
        <sz val="12"/>
        <rFont val="新細明體"/>
        <family val="1"/>
        <charset val="136"/>
      </rPr>
      <t>分攤總計</t>
    </r>
    <phoneticPr fontId="10" type="noConversion"/>
  </si>
  <si>
    <t>學生用書總計</t>
    <phoneticPr fontId="10" type="noConversion"/>
  </si>
  <si>
    <t>學生教科書(縣補助+花東+學生用書)補助總計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</si>
</sst>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#,##0_ "/>
    <numFmt numFmtId="179" formatCode="0_);[Red]\(0\)"/>
  </numFmts>
  <fonts count="94" x14ac:knownFonts="1"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8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6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微軟正黑體"/>
      <family val="2"/>
      <charset val="136"/>
    </font>
    <font>
      <sz val="12"/>
      <color indexed="10"/>
      <name val="標楷體"/>
      <family val="4"/>
      <charset val="136"/>
    </font>
    <font>
      <sz val="10"/>
      <color theme="9" tint="-0.499984740745262"/>
      <name val="細明體"/>
      <family val="3"/>
      <charset val="136"/>
    </font>
    <font>
      <sz val="10"/>
      <color theme="8" tint="-0.499984740745262"/>
      <name val="細明體"/>
      <family val="3"/>
      <charset val="136"/>
    </font>
    <font>
      <sz val="10"/>
      <color rgb="FF00B050"/>
      <name val="細明體"/>
      <family val="3"/>
      <charset val="136"/>
    </font>
    <font>
      <sz val="10"/>
      <color rgb="FF0070C0"/>
      <name val="細明體"/>
      <family val="3"/>
      <charset val="136"/>
    </font>
    <font>
      <sz val="10"/>
      <color rgb="FF7030A0"/>
      <name val="細明體"/>
      <family val="3"/>
      <charset val="136"/>
    </font>
    <font>
      <sz val="10"/>
      <color rgb="FF7030A0"/>
      <name val="新細明體"/>
      <family val="1"/>
      <charset val="136"/>
    </font>
    <font>
      <sz val="10"/>
      <color theme="8" tint="-0.499984740745262"/>
      <name val="新細明體"/>
      <family val="1"/>
      <charset val="136"/>
    </font>
    <font>
      <sz val="10"/>
      <color rgb="FF0070C0"/>
      <name val="新細明體"/>
      <family val="1"/>
      <charset val="136"/>
    </font>
    <font>
      <sz val="10"/>
      <color rgb="FF00B050"/>
      <name val="新細明體"/>
      <family val="1"/>
      <charset val="136"/>
    </font>
    <font>
      <sz val="10"/>
      <color theme="9" tint="-0.499984740745262"/>
      <name val="新細明體"/>
      <family val="1"/>
      <charset val="136"/>
    </font>
    <font>
      <sz val="10"/>
      <color rgb="FF7030A0"/>
      <name val="微軟正黑體"/>
      <family val="2"/>
      <charset val="136"/>
    </font>
    <font>
      <sz val="10"/>
      <color theme="8" tint="-0.49998474074526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theme="9" tint="-0.499984740745262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8"/>
      <color rgb="FFFF0000"/>
      <name val="微軟正黑體"/>
      <family val="2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sz val="16"/>
      <name val="新細明體"/>
      <family val="1"/>
      <charset val="136"/>
    </font>
    <font>
      <sz val="11"/>
      <name val="新細明體"/>
      <family val="1"/>
      <charset val="136"/>
    </font>
    <font>
      <sz val="11"/>
      <name val="新細明體"/>
      <family val="1"/>
      <charset val="136"/>
      <scheme val="major"/>
    </font>
    <font>
      <sz val="10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8"/>
      <color rgb="FFFF000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0"/>
      <name val="細明體"/>
      <family val="3"/>
      <charset val="136"/>
    </font>
    <font>
      <b/>
      <sz val="10"/>
      <color rgb="FF7030A0"/>
      <name val="細明體"/>
      <family val="3"/>
      <charset val="136"/>
    </font>
    <font>
      <b/>
      <sz val="10"/>
      <color theme="8" tint="-0.499984740745262"/>
      <name val="細明體"/>
      <family val="3"/>
      <charset val="136"/>
    </font>
    <font>
      <b/>
      <sz val="10"/>
      <color rgb="FF0070C0"/>
      <name val="細明體"/>
      <family val="3"/>
      <charset val="136"/>
    </font>
    <font>
      <b/>
      <sz val="10"/>
      <color rgb="FF00B050"/>
      <name val="細明體"/>
      <family val="3"/>
      <charset val="136"/>
    </font>
    <font>
      <b/>
      <sz val="10"/>
      <color theme="9" tint="-0.499984740745262"/>
      <name val="細明體"/>
      <family val="3"/>
      <charset val="136"/>
    </font>
    <font>
      <b/>
      <sz val="10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0000FF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4"/>
      <name val="新細明體"/>
      <family val="1"/>
      <charset val="136"/>
    </font>
    <font>
      <b/>
      <sz val="11"/>
      <name val="新細明體"/>
      <family val="1"/>
      <charset val="136"/>
    </font>
    <font>
      <b/>
      <sz val="18"/>
      <color indexed="81"/>
      <name val="細明體"/>
      <family val="3"/>
      <charset val="136"/>
    </font>
    <font>
      <sz val="18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rgb="FF0033CC"/>
      <name val="新細明體"/>
      <family val="1"/>
      <charset val="136"/>
    </font>
    <font>
      <b/>
      <sz val="16"/>
      <color rgb="FF0033CC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11.5"/>
      <name val="標楷體"/>
      <family val="4"/>
    </font>
    <font>
      <sz val="11.5"/>
      <name val="標楷體"/>
      <family val="4"/>
      <charset val="136"/>
    </font>
    <font>
      <sz val="11.5"/>
      <color rgb="FF000000"/>
      <name val="標楷體"/>
      <family val="2"/>
    </font>
    <font>
      <sz val="10"/>
      <color rgb="FF000000"/>
      <name val="標楷體"/>
      <family val="4"/>
      <charset val="136"/>
    </font>
    <font>
      <sz val="11.5"/>
      <color rgb="FF000000"/>
      <name val="標楷體"/>
      <family val="4"/>
      <charset val="136"/>
    </font>
    <font>
      <b/>
      <sz val="12"/>
      <color indexed="81"/>
      <name val="細明體"/>
      <family val="3"/>
      <charset val="136"/>
    </font>
    <font>
      <b/>
      <sz val="20"/>
      <color indexed="81"/>
      <name val="細明體"/>
      <family val="3"/>
      <charset val="136"/>
    </font>
    <font>
      <b/>
      <sz val="20"/>
      <color indexed="81"/>
      <name val="Tahoma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6"/>
      <color indexed="10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FF"/>
      <name val="新細明體"/>
      <family val="1"/>
      <charset val="136"/>
    </font>
    <font>
      <b/>
      <sz val="16"/>
      <color indexed="81"/>
      <name val="細明體"/>
      <family val="3"/>
      <charset val="136"/>
    </font>
    <font>
      <sz val="11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b/>
      <sz val="9"/>
      <color theme="1"/>
      <name val="新細明體"/>
      <family val="1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thin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thin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/>
      <right style="thin">
        <color theme="8" tint="-0.499984740745262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8" tint="-0.499984740745262"/>
      </right>
      <top/>
      <bottom style="medium">
        <color indexed="64"/>
      </bottom>
      <diagonal/>
    </border>
    <border>
      <left style="thick">
        <color theme="8" tint="-0.499984740745262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8" tint="-0.499984740745262"/>
      </right>
      <top/>
      <bottom/>
      <diagonal/>
    </border>
  </borders>
  <cellStyleXfs count="7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5" fillId="0" borderId="0"/>
    <xf numFmtId="0" fontId="2" fillId="0" borderId="0">
      <alignment vertical="center"/>
    </xf>
    <xf numFmtId="0" fontId="36" fillId="0" borderId="0"/>
  </cellStyleXfs>
  <cellXfs count="65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17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76" fontId="4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19" fillId="0" borderId="1" xfId="0" applyFont="1" applyBorder="1"/>
    <xf numFmtId="0" fontId="21" fillId="0" borderId="1" xfId="0" applyFont="1" applyBorder="1"/>
    <xf numFmtId="0" fontId="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4" borderId="0" xfId="0" quotePrefix="1" applyFill="1" applyBorder="1" applyAlignment="1">
      <alignment horizontal="center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6" xfId="0" quotePrefix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6" xfId="0" quotePrefix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quotePrefix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quotePrefix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76" fontId="4" fillId="5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176" fontId="4" fillId="7" borderId="11" xfId="0" applyNumberFormat="1" applyFont="1" applyFill="1" applyBorder="1" applyAlignment="1">
      <alignment horizontal="center" vertical="center" wrapText="1"/>
    </xf>
    <xf numFmtId="176" fontId="4" fillId="7" borderId="4" xfId="0" applyNumberFormat="1" applyFont="1" applyFill="1" applyBorder="1" applyAlignment="1">
      <alignment horizontal="center" vertical="center" wrapText="1"/>
    </xf>
    <xf numFmtId="176" fontId="4" fillId="8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quotePrefix="1" applyFill="1" applyAlignment="1">
      <alignment horizontal="center" vertical="center"/>
    </xf>
    <xf numFmtId="178" fontId="0" fillId="0" borderId="0" xfId="0" applyNumberFormat="1" applyFill="1"/>
    <xf numFmtId="177" fontId="22" fillId="0" borderId="13" xfId="0" applyNumberFormat="1" applyFont="1" applyBorder="1" applyAlignment="1" applyProtection="1">
      <alignment horizontal="center"/>
      <protection locked="0"/>
    </xf>
    <xf numFmtId="177" fontId="22" fillId="0" borderId="6" xfId="0" applyNumberFormat="1" applyFont="1" applyBorder="1" applyAlignment="1" applyProtection="1">
      <alignment horizontal="center"/>
      <protection locked="0"/>
    </xf>
    <xf numFmtId="177" fontId="22" fillId="0" borderId="15" xfId="0" applyNumberFormat="1" applyFont="1" applyBorder="1" applyAlignment="1" applyProtection="1">
      <alignment horizontal="center"/>
      <protection locked="0"/>
    </xf>
    <xf numFmtId="177" fontId="22" fillId="0" borderId="1" xfId="0" applyNumberFormat="1" applyFont="1" applyBorder="1" applyAlignment="1" applyProtection="1">
      <alignment horizontal="center"/>
      <protection locked="0"/>
    </xf>
    <xf numFmtId="177" fontId="19" fillId="0" borderId="15" xfId="0" applyNumberFormat="1" applyFont="1" applyBorder="1" applyAlignment="1" applyProtection="1">
      <alignment horizontal="center"/>
      <protection locked="0"/>
    </xf>
    <xf numFmtId="177" fontId="19" fillId="0" borderId="1" xfId="0" applyNumberFormat="1" applyFont="1" applyBorder="1" applyAlignment="1" applyProtection="1">
      <alignment horizontal="center"/>
      <protection locked="0"/>
    </xf>
    <xf numFmtId="177" fontId="4" fillId="0" borderId="15" xfId="0" applyNumberFormat="1" applyFont="1" applyBorder="1" applyAlignment="1" applyProtection="1">
      <alignment horizontal="center"/>
      <protection locked="0"/>
    </xf>
    <xf numFmtId="177" fontId="4" fillId="0" borderId="1" xfId="0" applyNumberFormat="1" applyFont="1" applyBorder="1" applyAlignment="1" applyProtection="1">
      <alignment horizontal="center"/>
      <protection locked="0"/>
    </xf>
    <xf numFmtId="177" fontId="21" fillId="0" borderId="15" xfId="0" applyNumberFormat="1" applyFont="1" applyBorder="1" applyAlignment="1" applyProtection="1">
      <alignment horizontal="center"/>
      <protection locked="0"/>
    </xf>
    <xf numFmtId="177" fontId="21" fillId="0" borderId="1" xfId="0" applyNumberFormat="1" applyFont="1" applyBorder="1" applyAlignment="1" applyProtection="1">
      <alignment horizontal="center"/>
      <protection locked="0"/>
    </xf>
    <xf numFmtId="177" fontId="20" fillId="0" borderId="15" xfId="0" applyNumberFormat="1" applyFont="1" applyBorder="1" applyAlignment="1" applyProtection="1">
      <alignment horizontal="center"/>
      <protection locked="0"/>
    </xf>
    <xf numFmtId="177" fontId="20" fillId="0" borderId="1" xfId="0" applyNumberFormat="1" applyFont="1" applyBorder="1" applyAlignment="1" applyProtection="1">
      <alignment horizontal="center"/>
      <protection locked="0"/>
    </xf>
    <xf numFmtId="177" fontId="18" fillId="0" borderId="15" xfId="0" applyNumberFormat="1" applyFont="1" applyBorder="1" applyAlignment="1" applyProtection="1">
      <alignment horizontal="center"/>
      <protection locked="0"/>
    </xf>
    <xf numFmtId="177" fontId="18" fillId="0" borderId="1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4" xfId="0" applyNumberFormat="1" applyFont="1" applyBorder="1" applyAlignment="1" applyProtection="1">
      <alignment horizontal="center"/>
      <protection locked="0"/>
    </xf>
    <xf numFmtId="176" fontId="4" fillId="0" borderId="17" xfId="0" applyNumberFormat="1" applyFont="1" applyBorder="1" applyAlignment="1" applyProtection="1">
      <alignment horizont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177" fontId="23" fillId="4" borderId="6" xfId="0" applyNumberFormat="1" applyFont="1" applyFill="1" applyBorder="1" applyProtection="1"/>
    <xf numFmtId="177" fontId="23" fillId="5" borderId="1" xfId="0" applyNumberFormat="1" applyFont="1" applyFill="1" applyBorder="1" applyProtection="1"/>
    <xf numFmtId="177" fontId="23" fillId="4" borderId="1" xfId="0" applyNumberFormat="1" applyFont="1" applyFill="1" applyBorder="1" applyProtection="1"/>
    <xf numFmtId="177" fontId="24" fillId="5" borderId="1" xfId="0" applyNumberFormat="1" applyFont="1" applyFill="1" applyBorder="1" applyProtection="1"/>
    <xf numFmtId="177" fontId="24" fillId="4" borderId="1" xfId="0" applyNumberFormat="1" applyFont="1" applyFill="1" applyBorder="1" applyProtection="1"/>
    <xf numFmtId="177" fontId="0" fillId="5" borderId="1" xfId="0" applyNumberFormat="1" applyFont="1" applyFill="1" applyBorder="1" applyProtection="1"/>
    <xf numFmtId="177" fontId="0" fillId="4" borderId="1" xfId="0" applyNumberFormat="1" applyFont="1" applyFill="1" applyBorder="1" applyProtection="1"/>
    <xf numFmtId="177" fontId="25" fillId="5" borderId="1" xfId="0" applyNumberFormat="1" applyFont="1" applyFill="1" applyBorder="1" applyProtection="1"/>
    <xf numFmtId="177" fontId="25" fillId="4" borderId="1" xfId="0" applyNumberFormat="1" applyFont="1" applyFill="1" applyBorder="1" applyProtection="1"/>
    <xf numFmtId="177" fontId="26" fillId="5" borderId="1" xfId="0" applyNumberFormat="1" applyFont="1" applyFill="1" applyBorder="1" applyProtection="1"/>
    <xf numFmtId="177" fontId="27" fillId="5" borderId="1" xfId="0" applyNumberFormat="1" applyFont="1" applyFill="1" applyBorder="1" applyProtection="1"/>
    <xf numFmtId="177" fontId="27" fillId="5" borderId="22" xfId="0" applyNumberFormat="1" applyFont="1" applyFill="1" applyBorder="1" applyProtection="1"/>
    <xf numFmtId="177" fontId="0" fillId="5" borderId="24" xfId="0" applyNumberFormat="1" applyFill="1" applyBorder="1" applyAlignment="1" applyProtection="1">
      <alignment horizontal="center" vertical="center"/>
    </xf>
    <xf numFmtId="176" fontId="4" fillId="4" borderId="25" xfId="0" applyNumberFormat="1" applyFont="1" applyFill="1" applyBorder="1" applyAlignment="1" applyProtection="1">
      <alignment horizontal="center" vertical="center" wrapText="1"/>
    </xf>
    <xf numFmtId="177" fontId="0" fillId="4" borderId="24" xfId="0" applyNumberFormat="1" applyFill="1" applyBorder="1" applyAlignment="1" applyProtection="1">
      <alignment horizontal="center" vertical="center"/>
    </xf>
    <xf numFmtId="177" fontId="23" fillId="3" borderId="6" xfId="0" applyNumberFormat="1" applyFont="1" applyFill="1" applyBorder="1" applyProtection="1"/>
    <xf numFmtId="177" fontId="23" fillId="3" borderId="1" xfId="0" applyNumberFormat="1" applyFont="1" applyFill="1" applyBorder="1" applyProtection="1"/>
    <xf numFmtId="177" fontId="24" fillId="3" borderId="1" xfId="0" applyNumberFormat="1" applyFont="1" applyFill="1" applyBorder="1" applyProtection="1"/>
    <xf numFmtId="177" fontId="0" fillId="3" borderId="1" xfId="0" applyNumberFormat="1" applyFont="1" applyFill="1" applyBorder="1" applyProtection="1"/>
    <xf numFmtId="177" fontId="25" fillId="3" borderId="1" xfId="0" applyNumberFormat="1" applyFont="1" applyFill="1" applyBorder="1" applyProtection="1"/>
    <xf numFmtId="177" fontId="0" fillId="3" borderId="24" xfId="0" applyNumberFormat="1" applyFill="1" applyBorder="1" applyAlignment="1" applyProtection="1">
      <alignment horizontal="center" vertical="center"/>
    </xf>
    <xf numFmtId="176" fontId="4" fillId="3" borderId="12" xfId="0" applyNumberFormat="1" applyFont="1" applyFill="1" applyBorder="1" applyAlignment="1" applyProtection="1">
      <alignment horizontal="center" vertical="center" wrapText="1"/>
    </xf>
    <xf numFmtId="177" fontId="23" fillId="3" borderId="14" xfId="0" applyNumberFormat="1" applyFont="1" applyFill="1" applyBorder="1" applyProtection="1"/>
    <xf numFmtId="177" fontId="23" fillId="3" borderId="16" xfId="0" applyNumberFormat="1" applyFont="1" applyFill="1" applyBorder="1" applyProtection="1"/>
    <xf numFmtId="177" fontId="24" fillId="3" borderId="16" xfId="0" applyNumberFormat="1" applyFont="1" applyFill="1" applyBorder="1" applyProtection="1"/>
    <xf numFmtId="177" fontId="0" fillId="3" borderId="16" xfId="0" applyNumberFormat="1" applyFont="1" applyFill="1" applyBorder="1" applyProtection="1"/>
    <xf numFmtId="177" fontId="25" fillId="3" borderId="16" xfId="0" applyNumberFormat="1" applyFont="1" applyFill="1" applyBorder="1" applyProtection="1"/>
    <xf numFmtId="176" fontId="4" fillId="5" borderId="25" xfId="0" applyNumberFormat="1" applyFont="1" applyFill="1" applyBorder="1" applyAlignment="1" applyProtection="1">
      <alignment horizontal="center" vertical="center" wrapText="1"/>
    </xf>
    <xf numFmtId="176" fontId="4" fillId="3" borderId="25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76" fontId="23" fillId="0" borderId="1" xfId="0" quotePrefix="1" applyNumberFormat="1" applyFont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178" fontId="0" fillId="0" borderId="1" xfId="0" applyNumberFormat="1" applyBorder="1" applyAlignment="1" applyProtection="1">
      <alignment horizontal="center" vertical="center"/>
    </xf>
    <xf numFmtId="178" fontId="23" fillId="0" borderId="27" xfId="0" applyNumberFormat="1" applyFont="1" applyBorder="1" applyAlignment="1" applyProtection="1">
      <alignment horizontal="center" vertical="center"/>
    </xf>
    <xf numFmtId="178" fontId="23" fillId="0" borderId="1" xfId="0" applyNumberFormat="1" applyFont="1" applyBorder="1" applyAlignment="1" applyProtection="1">
      <alignment horizontal="center" vertical="center"/>
    </xf>
    <xf numFmtId="176" fontId="24" fillId="0" borderId="1" xfId="0" quotePrefix="1" applyNumberFormat="1" applyFont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178" fontId="24" fillId="0" borderId="27" xfId="0" applyNumberFormat="1" applyFont="1" applyBorder="1" applyAlignment="1" applyProtection="1">
      <alignment horizontal="center" vertical="center"/>
    </xf>
    <xf numFmtId="176" fontId="25" fillId="0" borderId="1" xfId="0" quotePrefix="1" applyNumberFormat="1" applyFont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</xf>
    <xf numFmtId="178" fontId="25" fillId="0" borderId="27" xfId="0" applyNumberFormat="1" applyFont="1" applyBorder="1" applyAlignment="1" applyProtection="1">
      <alignment horizontal="center" vertical="center"/>
    </xf>
    <xf numFmtId="176" fontId="0" fillId="0" borderId="1" xfId="0" quotePrefix="1" applyNumberFormat="1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27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center" vertical="center"/>
    </xf>
    <xf numFmtId="176" fontId="27" fillId="0" borderId="1" xfId="0" quotePrefix="1" applyNumberFormat="1" applyFont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</xf>
    <xf numFmtId="178" fontId="27" fillId="0" borderId="27" xfId="0" applyNumberFormat="1" applyFont="1" applyBorder="1" applyAlignment="1" applyProtection="1">
      <alignment horizontal="center" vertical="center"/>
    </xf>
    <xf numFmtId="176" fontId="26" fillId="0" borderId="1" xfId="0" quotePrefix="1" applyNumberFormat="1" applyFont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 wrapText="1"/>
    </xf>
    <xf numFmtId="178" fontId="26" fillId="0" borderId="27" xfId="0" applyNumberFormat="1" applyFont="1" applyBorder="1" applyAlignment="1" applyProtection="1">
      <alignment horizontal="center" vertical="center"/>
    </xf>
    <xf numFmtId="177" fontId="23" fillId="0" borderId="6" xfId="0" applyNumberFormat="1" applyFont="1" applyBorder="1" applyProtection="1">
      <protection locked="0"/>
    </xf>
    <xf numFmtId="177" fontId="23" fillId="0" borderId="1" xfId="0" applyNumberFormat="1" applyFont="1" applyBorder="1" applyProtection="1">
      <protection locked="0"/>
    </xf>
    <xf numFmtId="177" fontId="24" fillId="0" borderId="1" xfId="0" applyNumberFormat="1" applyFont="1" applyBorder="1" applyProtection="1">
      <protection locked="0"/>
    </xf>
    <xf numFmtId="177" fontId="0" fillId="0" borderId="1" xfId="0" applyNumberFormat="1" applyFont="1" applyBorder="1" applyProtection="1">
      <protection locked="0"/>
    </xf>
    <xf numFmtId="177" fontId="25" fillId="0" borderId="1" xfId="0" applyNumberFormat="1" applyFont="1" applyBorder="1" applyProtection="1">
      <protection locked="0"/>
    </xf>
    <xf numFmtId="177" fontId="26" fillId="0" borderId="1" xfId="0" applyNumberFormat="1" applyFont="1" applyBorder="1" applyProtection="1">
      <protection locked="0"/>
    </xf>
    <xf numFmtId="177" fontId="27" fillId="0" borderId="1" xfId="0" applyNumberFormat="1" applyFont="1" applyBorder="1" applyProtection="1">
      <protection locked="0"/>
    </xf>
    <xf numFmtId="177" fontId="27" fillId="0" borderId="23" xfId="0" applyNumberFormat="1" applyFont="1" applyBorder="1" applyProtection="1">
      <protection locked="0"/>
    </xf>
    <xf numFmtId="177" fontId="22" fillId="0" borderId="6" xfId="0" applyNumberFormat="1" applyFont="1" applyFill="1" applyBorder="1" applyAlignment="1" applyProtection="1">
      <alignment horizontal="center"/>
      <protection locked="0"/>
    </xf>
    <xf numFmtId="177" fontId="22" fillId="0" borderId="1" xfId="0" applyNumberFormat="1" applyFont="1" applyFill="1" applyBorder="1" applyAlignment="1" applyProtection="1">
      <alignment horizontal="center"/>
      <protection locked="0"/>
    </xf>
    <xf numFmtId="177" fontId="19" fillId="0" borderId="1" xfId="0" applyNumberFormat="1" applyFont="1" applyFill="1" applyBorder="1" applyAlignment="1" applyProtection="1">
      <alignment horizontal="center"/>
      <protection locked="0"/>
    </xf>
    <xf numFmtId="177" fontId="4" fillId="0" borderId="1" xfId="0" applyNumberFormat="1" applyFont="1" applyFill="1" applyBorder="1" applyAlignment="1" applyProtection="1">
      <alignment horizontal="center"/>
      <protection locked="0"/>
    </xf>
    <xf numFmtId="177" fontId="21" fillId="0" borderId="1" xfId="0" applyNumberFormat="1" applyFont="1" applyFill="1" applyBorder="1" applyAlignment="1" applyProtection="1">
      <alignment horizontal="center"/>
      <protection locked="0"/>
    </xf>
    <xf numFmtId="177" fontId="20" fillId="0" borderId="1" xfId="0" applyNumberFormat="1" applyFont="1" applyFill="1" applyBorder="1" applyAlignment="1" applyProtection="1">
      <alignment horizontal="center"/>
      <protection locked="0"/>
    </xf>
    <xf numFmtId="177" fontId="18" fillId="0" borderId="1" xfId="0" applyNumberFormat="1" applyFont="1" applyFill="1" applyBorder="1" applyAlignment="1" applyProtection="1">
      <alignment horizontal="center"/>
      <protection locked="0"/>
    </xf>
    <xf numFmtId="177" fontId="18" fillId="0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6" fontId="0" fillId="0" borderId="0" xfId="0" applyNumberFormat="1" applyAlignment="1" applyProtection="1">
      <alignment horizontal="center"/>
      <protection locked="0"/>
    </xf>
    <xf numFmtId="177" fontId="0" fillId="0" borderId="0" xfId="0" applyNumberFormat="1" applyProtection="1">
      <protection locked="0"/>
    </xf>
    <xf numFmtId="176" fontId="0" fillId="0" borderId="1" xfId="0" applyNumberFormat="1" applyBorder="1" applyAlignment="1" applyProtection="1">
      <alignment horizontal="center" vertical="center"/>
    </xf>
    <xf numFmtId="178" fontId="0" fillId="0" borderId="2" xfId="0" applyNumberForma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quotePrefix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quotePrefix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</xf>
    <xf numFmtId="178" fontId="24" fillId="0" borderId="1" xfId="0" applyNumberFormat="1" applyFont="1" applyBorder="1" applyAlignment="1" applyProtection="1">
      <alignment horizontal="center" vertical="center"/>
    </xf>
    <xf numFmtId="178" fontId="25" fillId="0" borderId="1" xfId="0" applyNumberFormat="1" applyFont="1" applyBorder="1" applyAlignment="1" applyProtection="1">
      <alignment horizontal="center" vertical="center"/>
    </xf>
    <xf numFmtId="178" fontId="27" fillId="0" borderId="1" xfId="0" applyNumberFormat="1" applyFont="1" applyBorder="1" applyAlignment="1" applyProtection="1">
      <alignment horizontal="center" vertical="center"/>
    </xf>
    <xf numFmtId="178" fontId="26" fillId="0" borderId="1" xfId="0" applyNumberFormat="1" applyFont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178" fontId="0" fillId="0" borderId="27" xfId="0" applyNumberFormat="1" applyBorder="1" applyAlignment="1" applyProtection="1">
      <alignment horizontal="center" vertical="center"/>
    </xf>
    <xf numFmtId="0" fontId="0" fillId="8" borderId="1" xfId="0" applyFont="1" applyFill="1" applyBorder="1" applyAlignment="1" applyProtection="1">
      <alignment horizontal="center" vertical="center" wrapText="1"/>
    </xf>
    <xf numFmtId="0" fontId="0" fillId="8" borderId="23" xfId="0" applyFont="1" applyFill="1" applyBorder="1" applyAlignment="1" applyProtection="1">
      <alignment horizontal="center" vertical="center" wrapText="1"/>
    </xf>
    <xf numFmtId="178" fontId="26" fillId="0" borderId="1" xfId="0" applyNumberFormat="1" applyFont="1" applyBorder="1" applyAlignment="1" applyProtection="1">
      <alignment horizontal="center" vertical="center"/>
    </xf>
    <xf numFmtId="178" fontId="23" fillId="0" borderId="1" xfId="0" applyNumberFormat="1" applyFont="1" applyBorder="1" applyAlignment="1" applyProtection="1">
      <alignment horizontal="center" vertical="center"/>
    </xf>
    <xf numFmtId="178" fontId="24" fillId="0" borderId="1" xfId="0" applyNumberFormat="1" applyFont="1" applyBorder="1" applyAlignment="1" applyProtection="1">
      <alignment horizontal="center" vertical="center"/>
    </xf>
    <xf numFmtId="178" fontId="25" fillId="0" borderId="1" xfId="0" applyNumberFormat="1" applyFont="1" applyBorder="1" applyAlignment="1" applyProtection="1">
      <alignment horizontal="center" vertical="center"/>
    </xf>
    <xf numFmtId="178" fontId="27" fillId="0" borderId="1" xfId="0" applyNumberFormat="1" applyFont="1" applyBorder="1" applyAlignment="1" applyProtection="1">
      <alignment horizontal="center" vertical="center"/>
    </xf>
    <xf numFmtId="178" fontId="23" fillId="0" borderId="2" xfId="0" applyNumberFormat="1" applyFont="1" applyBorder="1" applyAlignment="1" applyProtection="1">
      <alignment horizontal="center" vertical="center"/>
    </xf>
    <xf numFmtId="178" fontId="24" fillId="0" borderId="2" xfId="0" applyNumberFormat="1" applyFont="1" applyBorder="1" applyAlignment="1" applyProtection="1">
      <alignment horizontal="center" vertical="center"/>
    </xf>
    <xf numFmtId="178" fontId="25" fillId="0" borderId="2" xfId="0" applyNumberFormat="1" applyFont="1" applyBorder="1" applyAlignment="1" applyProtection="1">
      <alignment horizontal="center" vertical="center"/>
    </xf>
    <xf numFmtId="178" fontId="27" fillId="0" borderId="2" xfId="0" applyNumberFormat="1" applyFont="1" applyBorder="1" applyAlignment="1" applyProtection="1">
      <alignment horizontal="center" vertical="center"/>
    </xf>
    <xf numFmtId="178" fontId="26" fillId="0" borderId="2" xfId="0" applyNumberFormat="1" applyFont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176" fontId="6" fillId="6" borderId="11" xfId="0" applyNumberFormat="1" applyFont="1" applyFill="1" applyBorder="1" applyAlignment="1">
      <alignment horizontal="center" vertical="center" wrapText="1"/>
    </xf>
    <xf numFmtId="176" fontId="6" fillId="5" borderId="4" xfId="0" applyNumberFormat="1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178" fontId="23" fillId="0" borderId="1" xfId="0" applyNumberFormat="1" applyFont="1" applyBorder="1" applyAlignment="1">
      <alignment horizontal="center"/>
    </xf>
    <xf numFmtId="178" fontId="24" fillId="0" borderId="1" xfId="0" applyNumberFormat="1" applyFont="1" applyBorder="1" applyAlignment="1">
      <alignment horizontal="center"/>
    </xf>
    <xf numFmtId="0" fontId="12" fillId="0" borderId="36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37" xfId="0" applyFont="1" applyFill="1" applyBorder="1" applyAlignment="1">
      <alignment horizontal="center" vertical="center" wrapText="1"/>
    </xf>
    <xf numFmtId="178" fontId="23" fillId="5" borderId="1" xfId="0" applyNumberFormat="1" applyFont="1" applyFill="1" applyBorder="1" applyAlignment="1" applyProtection="1">
      <alignment horizontal="center" vertical="center"/>
    </xf>
    <xf numFmtId="178" fontId="24" fillId="5" borderId="1" xfId="0" applyNumberFormat="1" applyFont="1" applyFill="1" applyBorder="1" applyAlignment="1" applyProtection="1">
      <alignment horizontal="center" vertical="center"/>
    </xf>
    <xf numFmtId="178" fontId="25" fillId="5" borderId="1" xfId="0" applyNumberFormat="1" applyFont="1" applyFill="1" applyBorder="1" applyAlignment="1" applyProtection="1">
      <alignment horizontal="center" vertical="center"/>
    </xf>
    <xf numFmtId="178" fontId="27" fillId="5" borderId="1" xfId="0" applyNumberFormat="1" applyFont="1" applyFill="1" applyBorder="1" applyAlignment="1" applyProtection="1">
      <alignment horizontal="center" vertical="center"/>
    </xf>
    <xf numFmtId="178" fontId="26" fillId="5" borderId="1" xfId="0" applyNumberFormat="1" applyFont="1" applyFill="1" applyBorder="1" applyAlignment="1" applyProtection="1">
      <alignment horizontal="center" vertical="center"/>
    </xf>
    <xf numFmtId="178" fontId="23" fillId="4" borderId="1" xfId="0" applyNumberFormat="1" applyFont="1" applyFill="1" applyBorder="1" applyAlignment="1" applyProtection="1">
      <alignment horizontal="center" vertical="center"/>
    </xf>
    <xf numFmtId="178" fontId="24" fillId="4" borderId="1" xfId="0" applyNumberFormat="1" applyFont="1" applyFill="1" applyBorder="1" applyAlignment="1" applyProtection="1">
      <alignment horizontal="center" vertical="center"/>
    </xf>
    <xf numFmtId="178" fontId="25" fillId="4" borderId="1" xfId="0" applyNumberFormat="1" applyFont="1" applyFill="1" applyBorder="1" applyAlignment="1" applyProtection="1">
      <alignment horizontal="center" vertical="center"/>
    </xf>
    <xf numFmtId="178" fontId="27" fillId="4" borderId="1" xfId="0" applyNumberFormat="1" applyFont="1" applyFill="1" applyBorder="1" applyAlignment="1" applyProtection="1">
      <alignment horizontal="center" vertical="center"/>
    </xf>
    <xf numFmtId="178" fontId="26" fillId="4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2" fillId="0" borderId="0" xfId="1" applyProtection="1">
      <protection locked="0"/>
    </xf>
    <xf numFmtId="0" fontId="13" fillId="0" borderId="0" xfId="1" applyFont="1" applyProtection="1">
      <protection locked="0"/>
    </xf>
    <xf numFmtId="0" fontId="12" fillId="0" borderId="0" xfId="1" applyFill="1" applyProtection="1">
      <protection locked="0"/>
    </xf>
    <xf numFmtId="0" fontId="42" fillId="0" borderId="0" xfId="1" applyFont="1" applyFill="1" applyProtection="1">
      <protection locked="0"/>
    </xf>
    <xf numFmtId="0" fontId="43" fillId="0" borderId="0" xfId="1" applyFont="1" applyProtection="1"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/>
      <protection locked="0"/>
    </xf>
    <xf numFmtId="0" fontId="39" fillId="0" borderId="0" xfId="1" applyFont="1" applyProtection="1">
      <protection locked="0"/>
    </xf>
    <xf numFmtId="0" fontId="44" fillId="0" borderId="0" xfId="1" applyFont="1" applyProtection="1">
      <protection locked="0"/>
    </xf>
    <xf numFmtId="0" fontId="45" fillId="0" borderId="0" xfId="4" applyFill="1" applyBorder="1" applyAlignment="1">
      <alignment horizontal="left" vertical="top"/>
    </xf>
    <xf numFmtId="0" fontId="45" fillId="0" borderId="0" xfId="4" applyFill="1" applyBorder="1" applyAlignment="1">
      <alignment vertical="top" wrapText="1"/>
    </xf>
    <xf numFmtId="0" fontId="47" fillId="0" borderId="7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5" fillId="0" borderId="0" xfId="0" applyFont="1" applyAlignment="1" applyProtection="1">
      <alignment horizontal="center"/>
      <protection locked="0"/>
    </xf>
    <xf numFmtId="0" fontId="55" fillId="0" borderId="0" xfId="0" applyFont="1" applyAlignment="1">
      <alignment horizontal="center"/>
    </xf>
    <xf numFmtId="0" fontId="33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22" fillId="12" borderId="1" xfId="0" applyFont="1" applyFill="1" applyBorder="1"/>
    <xf numFmtId="0" fontId="50" fillId="12" borderId="2" xfId="0" applyFont="1" applyFill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19" fillId="12" borderId="1" xfId="0" applyFont="1" applyFill="1" applyBorder="1"/>
    <xf numFmtId="0" fontId="51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0" fontId="4" fillId="12" borderId="1" xfId="0" applyFont="1" applyFill="1" applyBorder="1"/>
    <xf numFmtId="0" fontId="49" fillId="12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20" fillId="12" borderId="1" xfId="0" applyFont="1" applyFill="1" applyBorder="1"/>
    <xf numFmtId="0" fontId="53" fillId="12" borderId="2" xfId="0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18" fillId="12" borderId="1" xfId="0" applyFont="1" applyFill="1" applyBorder="1"/>
    <xf numFmtId="0" fontId="54" fillId="12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177" fontId="23" fillId="12" borderId="1" xfId="0" applyNumberFormat="1" applyFont="1" applyFill="1" applyBorder="1" applyProtection="1"/>
    <xf numFmtId="177" fontId="24" fillId="12" borderId="1" xfId="0" applyNumberFormat="1" applyFont="1" applyFill="1" applyBorder="1" applyProtection="1"/>
    <xf numFmtId="177" fontId="0" fillId="12" borderId="1" xfId="0" applyNumberFormat="1" applyFont="1" applyFill="1" applyBorder="1" applyProtection="1"/>
    <xf numFmtId="177" fontId="26" fillId="12" borderId="1" xfId="0" applyNumberFormat="1" applyFont="1" applyFill="1" applyBorder="1" applyProtection="1"/>
    <xf numFmtId="177" fontId="27" fillId="12" borderId="1" xfId="0" applyNumberFormat="1" applyFont="1" applyFill="1" applyBorder="1" applyProtection="1"/>
    <xf numFmtId="177" fontId="27" fillId="12" borderId="23" xfId="0" applyNumberFormat="1" applyFont="1" applyFill="1" applyBorder="1" applyProtection="1"/>
    <xf numFmtId="177" fontId="23" fillId="12" borderId="16" xfId="0" applyNumberFormat="1" applyFont="1" applyFill="1" applyBorder="1" applyProtection="1"/>
    <xf numFmtId="177" fontId="24" fillId="12" borderId="16" xfId="0" applyNumberFormat="1" applyFont="1" applyFill="1" applyBorder="1" applyProtection="1"/>
    <xf numFmtId="177" fontId="0" fillId="12" borderId="16" xfId="0" applyNumberFormat="1" applyFont="1" applyFill="1" applyBorder="1" applyProtection="1"/>
    <xf numFmtId="177" fontId="26" fillId="12" borderId="16" xfId="0" applyNumberFormat="1" applyFont="1" applyFill="1" applyBorder="1" applyProtection="1"/>
    <xf numFmtId="177" fontId="27" fillId="12" borderId="16" xfId="0" applyNumberFormat="1" applyFont="1" applyFill="1" applyBorder="1" applyProtection="1"/>
    <xf numFmtId="177" fontId="27" fillId="12" borderId="26" xfId="0" applyNumberFormat="1" applyFont="1" applyFill="1" applyBorder="1" applyProtection="1"/>
    <xf numFmtId="0" fontId="0" fillId="0" borderId="0" xfId="0" applyFill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177" fontId="0" fillId="4" borderId="6" xfId="0" applyNumberFormat="1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  <protection locked="0"/>
    </xf>
    <xf numFmtId="177" fontId="0" fillId="12" borderId="1" xfId="0" applyNumberFormat="1" applyFill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  <protection locked="0"/>
    </xf>
    <xf numFmtId="41" fontId="42" fillId="0" borderId="0" xfId="0" applyNumberFormat="1" applyFont="1" applyBorder="1" applyAlignment="1" applyProtection="1">
      <alignment vertical="center"/>
      <protection locked="0"/>
    </xf>
    <xf numFmtId="0" fontId="65" fillId="0" borderId="0" xfId="0" applyFont="1" applyAlignment="1" applyProtection="1">
      <protection locked="0"/>
    </xf>
    <xf numFmtId="41" fontId="42" fillId="0" borderId="80" xfId="0" applyNumberFormat="1" applyFont="1" applyBorder="1" applyAlignment="1" applyProtection="1">
      <alignment vertical="center"/>
      <protection locked="0"/>
    </xf>
    <xf numFmtId="178" fontId="60" fillId="0" borderId="0" xfId="0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1" fillId="0" borderId="0" xfId="0" applyFont="1" applyFill="1" applyBorder="1" applyAlignment="1" applyProtection="1">
      <alignment vertical="center" wrapText="1"/>
      <protection locked="0"/>
    </xf>
    <xf numFmtId="0" fontId="72" fillId="0" borderId="0" xfId="0" applyFont="1" applyBorder="1" applyAlignment="1" applyProtection="1">
      <alignment horizontal="right" vertical="center"/>
      <protection locked="0"/>
    </xf>
    <xf numFmtId="0" fontId="73" fillId="0" borderId="0" xfId="0" applyFont="1" applyBorder="1" applyAlignment="1" applyProtection="1">
      <alignment vertical="center"/>
      <protection locked="0"/>
    </xf>
    <xf numFmtId="0" fontId="72" fillId="0" borderId="0" xfId="0" applyFont="1" applyBorder="1" applyAlignment="1" applyProtection="1">
      <alignment horizontal="left" vertical="center"/>
      <protection locked="0"/>
    </xf>
    <xf numFmtId="0" fontId="74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 applyProtection="1">
      <alignment vertical="center"/>
      <protection locked="0"/>
    </xf>
    <xf numFmtId="0" fontId="61" fillId="0" borderId="0" xfId="0" applyFont="1" applyBorder="1" applyAlignment="1" applyProtection="1">
      <alignment vertical="center"/>
      <protection locked="0"/>
    </xf>
    <xf numFmtId="0" fontId="61" fillId="0" borderId="80" xfId="0" applyFont="1" applyFill="1" applyBorder="1" applyAlignment="1" applyProtection="1">
      <alignment vertical="center"/>
      <protection locked="0"/>
    </xf>
    <xf numFmtId="0" fontId="61" fillId="0" borderId="16" xfId="0" applyFont="1" applyFill="1" applyBorder="1" applyAlignment="1" applyProtection="1">
      <alignment horizontal="center" vertical="center"/>
      <protection locked="0"/>
    </xf>
    <xf numFmtId="0" fontId="61" fillId="0" borderId="4" xfId="0" applyFont="1" applyFill="1" applyBorder="1" applyAlignment="1" applyProtection="1">
      <alignment horizontal="center" vertical="center"/>
      <protection locked="0"/>
    </xf>
    <xf numFmtId="0" fontId="71" fillId="0" borderId="0" xfId="0" applyFont="1" applyAlignment="1" applyProtection="1">
      <protection locked="0"/>
    </xf>
    <xf numFmtId="0" fontId="77" fillId="0" borderId="36" xfId="4" applyFont="1" applyFill="1" applyBorder="1" applyAlignment="1">
      <alignment horizontal="center" vertical="center" wrapText="1"/>
    </xf>
    <xf numFmtId="0" fontId="79" fillId="0" borderId="0" xfId="4" applyFont="1" applyFill="1" applyBorder="1" applyAlignment="1">
      <alignment horizontal="center" vertical="center"/>
    </xf>
    <xf numFmtId="0" fontId="79" fillId="0" borderId="36" xfId="4" applyFont="1" applyFill="1" applyBorder="1" applyAlignment="1">
      <alignment horizontal="center" vertical="center" wrapText="1"/>
    </xf>
    <xf numFmtId="1" fontId="80" fillId="0" borderId="36" xfId="4" applyNumberFormat="1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2" fillId="0" borderId="0" xfId="0" applyFont="1" applyFill="1"/>
    <xf numFmtId="0" fontId="77" fillId="0" borderId="36" xfId="0" applyFont="1" applyFill="1" applyBorder="1" applyAlignment="1">
      <alignment horizontal="center" vertical="center" wrapText="1"/>
    </xf>
    <xf numFmtId="1" fontId="78" fillId="0" borderId="36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77" fillId="4" borderId="36" xfId="0" applyFont="1" applyFill="1" applyBorder="1" applyAlignment="1">
      <alignment horizontal="center" vertical="center" wrapText="1"/>
    </xf>
    <xf numFmtId="179" fontId="78" fillId="0" borderId="36" xfId="0" applyNumberFormat="1" applyFont="1" applyFill="1" applyBorder="1" applyAlignment="1">
      <alignment horizontal="center" vertical="center" shrinkToFit="1"/>
    </xf>
    <xf numFmtId="179" fontId="77" fillId="0" borderId="36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/>
    </xf>
    <xf numFmtId="1" fontId="78" fillId="4" borderId="36" xfId="0" applyNumberFormat="1" applyFont="1" applyFill="1" applyBorder="1" applyAlignment="1">
      <alignment horizontal="center" vertical="center" shrinkToFit="1"/>
    </xf>
    <xf numFmtId="0" fontId="59" fillId="0" borderId="1" xfId="0" applyFont="1" applyFill="1" applyBorder="1" applyAlignment="1" applyProtection="1">
      <alignment horizontal="center" vertical="center"/>
      <protection locked="0"/>
    </xf>
    <xf numFmtId="0" fontId="37" fillId="0" borderId="0" xfId="1" applyFont="1" applyBorder="1" applyAlignment="1" applyProtection="1">
      <alignment vertical="center"/>
      <protection locked="0"/>
    </xf>
    <xf numFmtId="0" fontId="84" fillId="11" borderId="23" xfId="1" applyFont="1" applyFill="1" applyBorder="1" applyAlignment="1" applyProtection="1">
      <alignment horizontal="center" vertical="center" wrapText="1"/>
      <protection locked="0"/>
    </xf>
    <xf numFmtId="0" fontId="15" fillId="11" borderId="23" xfId="1" applyFont="1" applyFill="1" applyBorder="1" applyAlignment="1" applyProtection="1">
      <alignment horizontal="center" vertical="center" wrapText="1"/>
      <protection locked="0"/>
    </xf>
    <xf numFmtId="0" fontId="85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61" fillId="0" borderId="1" xfId="1" applyFont="1" applyBorder="1" applyAlignment="1" applyProtection="1">
      <alignment horizontal="center" vertical="center" wrapText="1"/>
      <protection locked="0"/>
    </xf>
    <xf numFmtId="0" fontId="15" fillId="11" borderId="1" xfId="1" applyFont="1" applyFill="1" applyBorder="1" applyAlignment="1" applyProtection="1">
      <alignment horizontal="center" vertical="center" wrapText="1"/>
    </xf>
    <xf numFmtId="0" fontId="86" fillId="0" borderId="0" xfId="1" applyFont="1" applyFill="1" applyAlignment="1" applyProtection="1">
      <alignment horizontal="left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79" fillId="0" borderId="44" xfId="4" applyFont="1" applyFill="1" applyBorder="1" applyAlignment="1">
      <alignment horizontal="center" vertical="center" wrapText="1"/>
    </xf>
    <xf numFmtId="1" fontId="80" fillId="0" borderId="45" xfId="4" applyNumberFormat="1" applyFont="1" applyFill="1" applyBorder="1" applyAlignment="1">
      <alignment horizontal="center" vertical="center" shrinkToFit="1"/>
    </xf>
    <xf numFmtId="0" fontId="77" fillId="0" borderId="45" xfId="4" applyFont="1" applyFill="1" applyBorder="1" applyAlignment="1">
      <alignment horizontal="center" vertical="center" wrapText="1"/>
    </xf>
    <xf numFmtId="177" fontId="23" fillId="6" borderId="13" xfId="0" applyNumberFormat="1" applyFont="1" applyFill="1" applyBorder="1" applyAlignment="1" applyProtection="1">
      <alignment horizontal="center"/>
    </xf>
    <xf numFmtId="177" fontId="23" fillId="6" borderId="15" xfId="0" applyNumberFormat="1" applyFont="1" applyFill="1" applyBorder="1" applyAlignment="1" applyProtection="1">
      <alignment horizontal="center"/>
    </xf>
    <xf numFmtId="177" fontId="24" fillId="6" borderId="15" xfId="0" applyNumberFormat="1" applyFont="1" applyFill="1" applyBorder="1" applyAlignment="1" applyProtection="1">
      <alignment horizontal="center"/>
    </xf>
    <xf numFmtId="177" fontId="0" fillId="6" borderId="15" xfId="0" applyNumberFormat="1" applyFont="1" applyFill="1" applyBorder="1" applyAlignment="1" applyProtection="1">
      <alignment horizontal="center"/>
    </xf>
    <xf numFmtId="177" fontId="25" fillId="6" borderId="15" xfId="0" applyNumberFormat="1" applyFont="1" applyFill="1" applyBorder="1" applyAlignment="1" applyProtection="1">
      <alignment horizontal="center"/>
    </xf>
    <xf numFmtId="177" fontId="26" fillId="6" borderId="15" xfId="0" applyNumberFormat="1" applyFont="1" applyFill="1" applyBorder="1" applyAlignment="1" applyProtection="1">
      <alignment horizontal="center"/>
    </xf>
    <xf numFmtId="177" fontId="27" fillId="6" borderId="15" xfId="0" applyNumberFormat="1" applyFont="1" applyFill="1" applyBorder="1" applyAlignment="1" applyProtection="1">
      <alignment horizontal="center"/>
    </xf>
    <xf numFmtId="177" fontId="23" fillId="5" borderId="6" xfId="0" applyNumberFormat="1" applyFont="1" applyFill="1" applyBorder="1" applyAlignment="1" applyProtection="1">
      <alignment horizontal="right"/>
    </xf>
    <xf numFmtId="0" fontId="5" fillId="14" borderId="1" xfId="0" applyFont="1" applyFill="1" applyBorder="1" applyAlignment="1">
      <alignment horizontal="center"/>
    </xf>
    <xf numFmtId="176" fontId="6" fillId="14" borderId="12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 applyProtection="1">
      <alignment horizontal="center" vertical="center"/>
      <protection locked="0"/>
    </xf>
    <xf numFmtId="0" fontId="69" fillId="0" borderId="1" xfId="0" applyFont="1" applyFill="1" applyBorder="1" applyAlignment="1" applyProtection="1">
      <alignment horizontal="center" vertical="center"/>
      <protection locked="0"/>
    </xf>
    <xf numFmtId="0" fontId="69" fillId="10" borderId="1" xfId="0" applyFont="1" applyFill="1" applyBorder="1" applyAlignment="1" applyProtection="1">
      <alignment horizontal="center" vertical="center"/>
      <protection locked="0"/>
    </xf>
    <xf numFmtId="177" fontId="22" fillId="7" borderId="6" xfId="0" applyNumberFormat="1" applyFont="1" applyFill="1" applyBorder="1" applyAlignment="1" applyProtection="1">
      <alignment horizontal="center"/>
    </xf>
    <xf numFmtId="177" fontId="22" fillId="7" borderId="1" xfId="0" applyNumberFormat="1" applyFont="1" applyFill="1" applyBorder="1" applyAlignment="1" applyProtection="1">
      <alignment horizontal="center"/>
    </xf>
    <xf numFmtId="177" fontId="19" fillId="7" borderId="1" xfId="0" applyNumberFormat="1" applyFont="1" applyFill="1" applyBorder="1" applyAlignment="1" applyProtection="1">
      <alignment horizontal="center"/>
    </xf>
    <xf numFmtId="177" fontId="4" fillId="7" borderId="1" xfId="0" applyNumberFormat="1" applyFont="1" applyFill="1" applyBorder="1" applyAlignment="1" applyProtection="1">
      <alignment horizontal="center"/>
    </xf>
    <xf numFmtId="177" fontId="21" fillId="7" borderId="1" xfId="0" applyNumberFormat="1" applyFont="1" applyFill="1" applyBorder="1" applyAlignment="1" applyProtection="1">
      <alignment horizontal="center"/>
    </xf>
    <xf numFmtId="177" fontId="20" fillId="7" borderId="1" xfId="0" applyNumberFormat="1" applyFont="1" applyFill="1" applyBorder="1" applyAlignment="1" applyProtection="1">
      <alignment horizontal="center"/>
    </xf>
    <xf numFmtId="177" fontId="18" fillId="7" borderId="1" xfId="0" applyNumberFormat="1" applyFont="1" applyFill="1" applyBorder="1" applyAlignment="1" applyProtection="1">
      <alignment horizontal="center"/>
    </xf>
    <xf numFmtId="176" fontId="4" fillId="7" borderId="18" xfId="0" applyNumberFormat="1" applyFont="1" applyFill="1" applyBorder="1" applyAlignment="1" applyProtection="1">
      <alignment horizontal="center" vertical="center" wrapText="1"/>
    </xf>
    <xf numFmtId="177" fontId="4" fillId="7" borderId="19" xfId="0" applyNumberFormat="1" applyFont="1" applyFill="1" applyBorder="1" applyAlignment="1" applyProtection="1">
      <alignment horizontal="center" vertical="center"/>
    </xf>
    <xf numFmtId="177" fontId="22" fillId="8" borderId="6" xfId="0" applyNumberFormat="1" applyFont="1" applyFill="1" applyBorder="1" applyAlignment="1" applyProtection="1">
      <alignment horizontal="center"/>
    </xf>
    <xf numFmtId="177" fontId="22" fillId="14" borderId="14" xfId="0" applyNumberFormat="1" applyFont="1" applyFill="1" applyBorder="1" applyAlignment="1" applyProtection="1">
      <alignment horizontal="center"/>
    </xf>
    <xf numFmtId="177" fontId="22" fillId="8" borderId="1" xfId="0" applyNumberFormat="1" applyFont="1" applyFill="1" applyBorder="1" applyAlignment="1" applyProtection="1">
      <alignment horizontal="center"/>
    </xf>
    <xf numFmtId="177" fontId="22" fillId="14" borderId="16" xfId="0" applyNumberFormat="1" applyFont="1" applyFill="1" applyBorder="1" applyAlignment="1" applyProtection="1">
      <alignment horizontal="center"/>
    </xf>
    <xf numFmtId="177" fontId="19" fillId="8" borderId="1" xfId="0" applyNumberFormat="1" applyFont="1" applyFill="1" applyBorder="1" applyAlignment="1" applyProtection="1">
      <alignment horizontal="center"/>
    </xf>
    <xf numFmtId="177" fontId="19" fillId="14" borderId="16" xfId="0" applyNumberFormat="1" applyFont="1" applyFill="1" applyBorder="1" applyAlignment="1" applyProtection="1">
      <alignment horizontal="center"/>
    </xf>
    <xf numFmtId="177" fontId="4" fillId="8" borderId="1" xfId="0" applyNumberFormat="1" applyFont="1" applyFill="1" applyBorder="1" applyAlignment="1" applyProtection="1">
      <alignment horizontal="center"/>
    </xf>
    <xf numFmtId="177" fontId="4" fillId="14" borderId="16" xfId="0" applyNumberFormat="1" applyFont="1" applyFill="1" applyBorder="1" applyAlignment="1" applyProtection="1">
      <alignment horizontal="center"/>
    </xf>
    <xf numFmtId="177" fontId="21" fillId="8" borderId="1" xfId="0" applyNumberFormat="1" applyFont="1" applyFill="1" applyBorder="1" applyAlignment="1" applyProtection="1">
      <alignment horizontal="center"/>
    </xf>
    <xf numFmtId="177" fontId="21" fillId="14" borderId="16" xfId="0" applyNumberFormat="1" applyFont="1" applyFill="1" applyBorder="1" applyAlignment="1" applyProtection="1">
      <alignment horizontal="center"/>
    </xf>
    <xf numFmtId="177" fontId="20" fillId="8" borderId="1" xfId="0" applyNumberFormat="1" applyFont="1" applyFill="1" applyBorder="1" applyAlignment="1" applyProtection="1">
      <alignment horizontal="center"/>
    </xf>
    <xf numFmtId="177" fontId="20" fillId="14" borderId="16" xfId="0" applyNumberFormat="1" applyFont="1" applyFill="1" applyBorder="1" applyAlignment="1" applyProtection="1">
      <alignment horizontal="center"/>
    </xf>
    <xf numFmtId="177" fontId="18" fillId="8" borderId="1" xfId="0" applyNumberFormat="1" applyFont="1" applyFill="1" applyBorder="1" applyAlignment="1" applyProtection="1">
      <alignment horizontal="center"/>
    </xf>
    <xf numFmtId="177" fontId="18" fillId="14" borderId="16" xfId="0" applyNumberFormat="1" applyFont="1" applyFill="1" applyBorder="1" applyAlignment="1" applyProtection="1">
      <alignment horizontal="center"/>
    </xf>
    <xf numFmtId="176" fontId="4" fillId="8" borderId="18" xfId="0" applyNumberFormat="1" applyFont="1" applyFill="1" applyBorder="1" applyAlignment="1" applyProtection="1">
      <alignment horizontal="center" vertical="center" wrapText="1"/>
    </xf>
    <xf numFmtId="177" fontId="4" fillId="8" borderId="19" xfId="0" applyNumberFormat="1" applyFont="1" applyFill="1" applyBorder="1" applyAlignment="1" applyProtection="1">
      <alignment horizontal="center" vertical="center"/>
    </xf>
    <xf numFmtId="177" fontId="4" fillId="14" borderId="21" xfId="0" applyNumberFormat="1" applyFont="1" applyFill="1" applyBorder="1" applyAlignment="1" applyProtection="1">
      <alignment horizontal="center" vertical="center"/>
    </xf>
    <xf numFmtId="0" fontId="1" fillId="0" borderId="0" xfId="5" applyFont="1" applyFill="1" applyProtection="1">
      <alignment vertical="center"/>
      <protection locked="0"/>
    </xf>
    <xf numFmtId="0" fontId="2" fillId="0" borderId="0" xfId="5" applyFill="1" applyProtection="1">
      <alignment vertical="center"/>
      <protection locked="0"/>
    </xf>
    <xf numFmtId="0" fontId="1" fillId="0" borderId="0" xfId="5" applyFont="1" applyFill="1" applyAlignment="1" applyProtection="1">
      <alignment horizontal="center" vertical="center"/>
      <protection locked="0"/>
    </xf>
    <xf numFmtId="0" fontId="69" fillId="0" borderId="16" xfId="5" applyFont="1" applyFill="1" applyBorder="1" applyAlignment="1" applyProtection="1">
      <alignment horizontal="center" vertical="center"/>
      <protection locked="0"/>
    </xf>
    <xf numFmtId="0" fontId="69" fillId="0" borderId="1" xfId="5" applyFont="1" applyBorder="1" applyAlignment="1" applyProtection="1">
      <alignment horizontal="center" vertical="center"/>
      <protection locked="0"/>
    </xf>
    <xf numFmtId="0" fontId="69" fillId="0" borderId="38" xfId="5" applyFont="1" applyBorder="1" applyAlignment="1" applyProtection="1">
      <alignment horizontal="center" vertical="center"/>
      <protection locked="0"/>
    </xf>
    <xf numFmtId="0" fontId="2" fillId="0" borderId="0" xfId="5" applyFill="1" applyAlignment="1" applyProtection="1">
      <alignment horizontal="center" vertical="center"/>
      <protection locked="0"/>
    </xf>
    <xf numFmtId="0" fontId="69" fillId="0" borderId="6" xfId="5" applyFont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41" fontId="61" fillId="0" borderId="1" xfId="0" applyNumberFormat="1" applyFont="1" applyFill="1" applyBorder="1" applyAlignment="1" applyProtection="1">
      <alignment horizontal="center" vertical="center"/>
      <protection locked="0"/>
    </xf>
    <xf numFmtId="41" fontId="61" fillId="0" borderId="4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Border="1" applyAlignment="1" applyProtection="1">
      <alignment horizontal="center" vertical="center" textRotation="255"/>
      <protection locked="0"/>
    </xf>
    <xf numFmtId="41" fontId="61" fillId="0" borderId="0" xfId="0" applyNumberFormat="1" applyFont="1" applyFill="1" applyBorder="1" applyAlignment="1" applyProtection="1">
      <alignment vertical="center"/>
      <protection locked="0"/>
    </xf>
    <xf numFmtId="41" fontId="6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88" fillId="0" borderId="1" xfId="6" applyFont="1" applyFill="1" applyBorder="1" applyAlignment="1" applyProtection="1">
      <alignment horizontal="center" vertical="center"/>
      <protection locked="0"/>
    </xf>
    <xf numFmtId="0" fontId="70" fillId="0" borderId="38" xfId="5" applyFont="1" applyBorder="1" applyAlignment="1" applyProtection="1">
      <alignment horizontal="center" vertical="center"/>
      <protection locked="0"/>
    </xf>
    <xf numFmtId="0" fontId="88" fillId="13" borderId="39" xfId="6" applyFont="1" applyFill="1" applyBorder="1" applyAlignment="1" applyProtection="1">
      <alignment horizontal="center" vertical="center"/>
      <protection locked="0"/>
    </xf>
    <xf numFmtId="0" fontId="70" fillId="0" borderId="39" xfId="5" applyFont="1" applyBorder="1" applyAlignment="1" applyProtection="1">
      <alignment horizontal="center" vertical="center"/>
      <protection locked="0"/>
    </xf>
    <xf numFmtId="0" fontId="88" fillId="0" borderId="39" xfId="6" applyFont="1" applyFill="1" applyBorder="1" applyAlignment="1" applyProtection="1">
      <alignment horizontal="center" vertical="center"/>
      <protection locked="0"/>
    </xf>
    <xf numFmtId="0" fontId="70" fillId="0" borderId="41" xfId="5" applyFont="1" applyBorder="1" applyAlignment="1" applyProtection="1">
      <alignment horizontal="center" vertical="center"/>
      <protection locked="0"/>
    </xf>
    <xf numFmtId="0" fontId="88" fillId="13" borderId="1" xfId="6" applyFont="1" applyFill="1" applyBorder="1" applyAlignment="1" applyProtection="1">
      <alignment horizontal="center" vertical="center"/>
      <protection locked="0"/>
    </xf>
    <xf numFmtId="0" fontId="70" fillId="0" borderId="16" xfId="5" applyFont="1" applyBorder="1" applyAlignment="1" applyProtection="1">
      <alignment horizontal="center" vertical="center"/>
      <protection locked="0"/>
    </xf>
    <xf numFmtId="0" fontId="70" fillId="0" borderId="12" xfId="5" applyFont="1" applyBorder="1" applyAlignment="1" applyProtection="1">
      <alignment horizontal="center" vertical="center"/>
      <protection locked="0"/>
    </xf>
    <xf numFmtId="0" fontId="0" fillId="15" borderId="0" xfId="0" applyFont="1" applyFill="1" applyAlignment="1" applyProtection="1">
      <alignment vertical="center"/>
      <protection locked="0"/>
    </xf>
    <xf numFmtId="0" fontId="61" fillId="15" borderId="1" xfId="0" applyFont="1" applyFill="1" applyBorder="1" applyAlignment="1" applyProtection="1">
      <alignment horizontal="center" vertical="center"/>
      <protection locked="0"/>
    </xf>
    <xf numFmtId="41" fontId="61" fillId="15" borderId="1" xfId="0" applyNumberFormat="1" applyFont="1" applyFill="1" applyBorder="1" applyAlignment="1" applyProtection="1">
      <alignment horizontal="center" vertical="center"/>
      <protection locked="0"/>
    </xf>
    <xf numFmtId="41" fontId="61" fillId="15" borderId="4" xfId="0" applyNumberFormat="1" applyFont="1" applyFill="1" applyBorder="1" applyAlignment="1" applyProtection="1">
      <alignment horizontal="center" vertical="center"/>
      <protection locked="0"/>
    </xf>
    <xf numFmtId="0" fontId="59" fillId="15" borderId="0" xfId="0" applyFont="1" applyFill="1" applyBorder="1" applyAlignment="1" applyProtection="1">
      <alignment horizontal="center" vertical="center" textRotation="255"/>
      <protection locked="0"/>
    </xf>
    <xf numFmtId="0" fontId="61" fillId="15" borderId="0" xfId="0" applyFont="1" applyFill="1" applyBorder="1" applyAlignment="1" applyProtection="1">
      <alignment horizontal="center" vertical="center"/>
      <protection locked="0"/>
    </xf>
    <xf numFmtId="41" fontId="61" fillId="15" borderId="0" xfId="0" applyNumberFormat="1" applyFont="1" applyFill="1" applyBorder="1" applyAlignment="1" applyProtection="1">
      <alignment vertical="center"/>
      <protection locked="0"/>
    </xf>
    <xf numFmtId="41" fontId="61" fillId="15" borderId="0" xfId="0" applyNumberFormat="1" applyFont="1" applyFill="1" applyBorder="1" applyAlignment="1" applyProtection="1">
      <alignment horizontal="center" vertical="center"/>
      <protection locked="0"/>
    </xf>
    <xf numFmtId="0" fontId="0" fillId="15" borderId="0" xfId="0" applyFont="1" applyFill="1" applyProtection="1">
      <protection locked="0"/>
    </xf>
    <xf numFmtId="0" fontId="61" fillId="15" borderId="0" xfId="0" applyFont="1" applyFill="1" applyAlignment="1" applyProtection="1">
      <alignment vertical="center"/>
      <protection locked="0"/>
    </xf>
    <xf numFmtId="0" fontId="61" fillId="15" borderId="0" xfId="0" applyFont="1" applyFill="1" applyBorder="1" applyAlignment="1" applyProtection="1">
      <alignment vertical="center"/>
      <protection locked="0"/>
    </xf>
    <xf numFmtId="0" fontId="61" fillId="15" borderId="80" xfId="0" applyFont="1" applyFill="1" applyBorder="1" applyAlignment="1" applyProtection="1">
      <alignment vertical="center"/>
      <protection locked="0"/>
    </xf>
    <xf numFmtId="0" fontId="61" fillId="15" borderId="16" xfId="0" applyFont="1" applyFill="1" applyBorder="1" applyAlignment="1" applyProtection="1">
      <alignment horizontal="center" vertical="center"/>
      <protection locked="0"/>
    </xf>
    <xf numFmtId="0" fontId="69" fillId="15" borderId="1" xfId="0" applyFont="1" applyFill="1" applyBorder="1" applyAlignment="1" applyProtection="1">
      <alignment horizontal="center" vertical="center"/>
      <protection locked="0"/>
    </xf>
    <xf numFmtId="0" fontId="59" fillId="15" borderId="1" xfId="0" applyFont="1" applyFill="1" applyBorder="1" applyAlignment="1" applyProtection="1">
      <alignment horizontal="center" vertical="center"/>
      <protection locked="0"/>
    </xf>
    <xf numFmtId="41" fontId="42" fillId="15" borderId="80" xfId="0" applyNumberFormat="1" applyFont="1" applyFill="1" applyBorder="1" applyAlignment="1" applyProtection="1">
      <alignment vertical="center"/>
      <protection locked="0"/>
    </xf>
    <xf numFmtId="0" fontId="42" fillId="15" borderId="0" xfId="0" applyFont="1" applyFill="1" applyBorder="1" applyAlignment="1" applyProtection="1">
      <alignment vertical="center"/>
      <protection locked="0"/>
    </xf>
    <xf numFmtId="41" fontId="42" fillId="15" borderId="0" xfId="0" applyNumberFormat="1" applyFont="1" applyFill="1" applyBorder="1" applyAlignment="1" applyProtection="1">
      <alignment vertical="center"/>
      <protection locked="0"/>
    </xf>
    <xf numFmtId="0" fontId="42" fillId="15" borderId="89" xfId="0" applyFont="1" applyFill="1" applyBorder="1" applyAlignment="1" applyProtection="1">
      <alignment vertical="center"/>
      <protection locked="0"/>
    </xf>
    <xf numFmtId="0" fontId="61" fillId="15" borderId="4" xfId="0" applyFont="1" applyFill="1" applyBorder="1" applyAlignment="1" applyProtection="1">
      <alignment horizontal="center" vertical="center"/>
      <protection locked="0"/>
    </xf>
    <xf numFmtId="0" fontId="67" fillId="15" borderId="0" xfId="0" applyFont="1" applyFill="1" applyBorder="1" applyAlignment="1" applyProtection="1">
      <alignment horizontal="center" vertical="center"/>
      <protection locked="0"/>
    </xf>
    <xf numFmtId="0" fontId="12" fillId="15" borderId="68" xfId="0" applyFont="1" applyFill="1" applyBorder="1" applyAlignment="1" applyProtection="1">
      <alignment horizontal="center" vertical="center" wrapText="1"/>
      <protection locked="0"/>
    </xf>
    <xf numFmtId="0" fontId="12" fillId="15" borderId="69" xfId="0" applyFont="1" applyFill="1" applyBorder="1" applyAlignment="1" applyProtection="1">
      <alignment horizontal="center" vertical="center" wrapText="1"/>
      <protection locked="0"/>
    </xf>
    <xf numFmtId="0" fontId="12" fillId="15" borderId="66" xfId="0" applyFont="1" applyFill="1" applyBorder="1" applyAlignment="1" applyProtection="1">
      <alignment horizontal="center" vertical="center" wrapText="1"/>
      <protection locked="0"/>
    </xf>
    <xf numFmtId="0" fontId="12" fillId="15" borderId="67" xfId="0" applyFont="1" applyFill="1" applyBorder="1" applyAlignment="1" applyProtection="1">
      <alignment horizontal="center" vertical="center" wrapText="1"/>
      <protection locked="0"/>
    </xf>
    <xf numFmtId="41" fontId="68" fillId="15" borderId="72" xfId="0" applyNumberFormat="1" applyFont="1" applyFill="1" applyBorder="1" applyAlignment="1" applyProtection="1">
      <alignment horizontal="center" vertical="center"/>
      <protection locked="0"/>
    </xf>
    <xf numFmtId="41" fontId="68" fillId="15" borderId="65" xfId="0" applyNumberFormat="1" applyFont="1" applyFill="1" applyBorder="1" applyAlignment="1" applyProtection="1">
      <alignment horizontal="center" vertical="center"/>
      <protection locked="0"/>
    </xf>
    <xf numFmtId="41" fontId="61" fillId="15" borderId="17" xfId="0" applyNumberFormat="1" applyFont="1" applyFill="1" applyBorder="1" applyAlignment="1" applyProtection="1">
      <alignment horizontal="center" vertical="center"/>
      <protection locked="0"/>
    </xf>
    <xf numFmtId="41" fontId="61" fillId="15" borderId="9" xfId="0" applyNumberFormat="1" applyFont="1" applyFill="1" applyBorder="1" applyAlignment="1" applyProtection="1">
      <alignment horizontal="center" vertical="center"/>
      <protection locked="0"/>
    </xf>
    <xf numFmtId="41" fontId="61" fillId="15" borderId="4" xfId="0" applyNumberFormat="1" applyFont="1" applyFill="1" applyBorder="1" applyAlignment="1" applyProtection="1">
      <alignment horizontal="center" vertical="center"/>
      <protection locked="0"/>
    </xf>
    <xf numFmtId="41" fontId="61" fillId="15" borderId="20" xfId="0" applyNumberFormat="1" applyFont="1" applyFill="1" applyBorder="1" applyAlignment="1" applyProtection="1">
      <alignment horizontal="center" vertical="center"/>
      <protection locked="0"/>
    </xf>
    <xf numFmtId="41" fontId="61" fillId="15" borderId="21" xfId="0" applyNumberFormat="1" applyFont="1" applyFill="1" applyBorder="1" applyAlignment="1" applyProtection="1">
      <alignment horizontal="center" vertical="center"/>
      <protection locked="0"/>
    </xf>
    <xf numFmtId="0" fontId="12" fillId="15" borderId="68" xfId="0" applyFont="1" applyFill="1" applyBorder="1" applyAlignment="1" applyProtection="1">
      <alignment horizontal="center" vertical="center" shrinkToFit="1"/>
      <protection locked="0"/>
    </xf>
    <xf numFmtId="0" fontId="12" fillId="15" borderId="69" xfId="0" applyFont="1" applyFill="1" applyBorder="1" applyAlignment="1" applyProtection="1">
      <alignment horizontal="center" vertical="center" shrinkToFit="1"/>
      <protection locked="0"/>
    </xf>
    <xf numFmtId="0" fontId="12" fillId="15" borderId="66" xfId="0" applyFont="1" applyFill="1" applyBorder="1" applyAlignment="1" applyProtection="1">
      <alignment horizontal="center" vertical="center" shrinkToFit="1"/>
      <protection locked="0"/>
    </xf>
    <xf numFmtId="0" fontId="12" fillId="15" borderId="67" xfId="0" applyFont="1" applyFill="1" applyBorder="1" applyAlignment="1" applyProtection="1">
      <alignment horizontal="center" vertical="center" shrinkToFit="1"/>
      <protection locked="0"/>
    </xf>
    <xf numFmtId="41" fontId="72" fillId="15" borderId="72" xfId="0" applyNumberFormat="1" applyFont="1" applyFill="1" applyBorder="1" applyAlignment="1" applyProtection="1">
      <alignment horizontal="center" vertical="center"/>
      <protection locked="0"/>
    </xf>
    <xf numFmtId="41" fontId="72" fillId="15" borderId="65" xfId="0" applyNumberFormat="1" applyFont="1" applyFill="1" applyBorder="1" applyAlignment="1" applyProtection="1">
      <alignment horizontal="center" vertical="center"/>
      <protection locked="0"/>
    </xf>
    <xf numFmtId="0" fontId="64" fillId="0" borderId="68" xfId="0" applyFont="1" applyFill="1" applyBorder="1" applyAlignment="1" applyProtection="1">
      <alignment horizontal="center" vertical="center" shrinkToFit="1"/>
      <protection locked="0"/>
    </xf>
    <xf numFmtId="0" fontId="64" fillId="0" borderId="69" xfId="0" applyFont="1" applyFill="1" applyBorder="1" applyAlignment="1" applyProtection="1">
      <alignment horizontal="center" vertical="center" shrinkToFit="1"/>
      <protection locked="0"/>
    </xf>
    <xf numFmtId="0" fontId="64" fillId="0" borderId="66" xfId="0" applyFont="1" applyFill="1" applyBorder="1" applyAlignment="1" applyProtection="1">
      <alignment horizontal="center" vertical="center" shrinkToFit="1"/>
      <protection locked="0"/>
    </xf>
    <xf numFmtId="0" fontId="64" fillId="0" borderId="67" xfId="0" applyFont="1" applyFill="1" applyBorder="1" applyAlignment="1" applyProtection="1">
      <alignment horizontal="center" vertical="center" shrinkToFit="1"/>
      <protection locked="0"/>
    </xf>
    <xf numFmtId="41" fontId="68" fillId="0" borderId="72" xfId="0" applyNumberFormat="1" applyFont="1" applyFill="1" applyBorder="1" applyAlignment="1" applyProtection="1">
      <alignment horizontal="center" vertical="center"/>
      <protection locked="0"/>
    </xf>
    <xf numFmtId="41" fontId="68" fillId="0" borderId="65" xfId="0" applyNumberFormat="1" applyFont="1" applyFill="1" applyBorder="1" applyAlignment="1" applyProtection="1">
      <alignment horizontal="center" vertical="center"/>
      <protection locked="0"/>
    </xf>
    <xf numFmtId="41" fontId="61" fillId="15" borderId="2" xfId="0" applyNumberFormat="1" applyFont="1" applyFill="1" applyBorder="1" applyAlignment="1" applyProtection="1">
      <alignment horizontal="center" vertical="center"/>
      <protection locked="0"/>
    </xf>
    <xf numFmtId="41" fontId="61" fillId="15" borderId="27" xfId="0" applyNumberFormat="1" applyFont="1" applyFill="1" applyBorder="1" applyAlignment="1" applyProtection="1">
      <alignment horizontal="center" vertical="center"/>
      <protection locked="0"/>
    </xf>
    <xf numFmtId="41" fontId="61" fillId="15" borderId="1" xfId="0" applyNumberFormat="1" applyFont="1" applyFill="1" applyBorder="1" applyAlignment="1" applyProtection="1">
      <alignment horizontal="center" vertical="center"/>
      <protection locked="0"/>
    </xf>
    <xf numFmtId="41" fontId="61" fillId="15" borderId="5" xfId="0" applyNumberFormat="1" applyFont="1" applyFill="1" applyBorder="1" applyAlignment="1" applyProtection="1">
      <alignment horizontal="center" vertical="center"/>
      <protection locked="0"/>
    </xf>
    <xf numFmtId="41" fontId="61" fillId="15" borderId="8" xfId="0" applyNumberFormat="1" applyFont="1" applyFill="1" applyBorder="1" applyAlignment="1" applyProtection="1">
      <alignment horizontal="center" vertical="center"/>
      <protection locked="0"/>
    </xf>
    <xf numFmtId="0" fontId="69" fillId="15" borderId="1" xfId="0" applyFont="1" applyFill="1" applyBorder="1" applyAlignment="1" applyProtection="1">
      <alignment horizontal="center" vertical="center"/>
      <protection locked="0"/>
    </xf>
    <xf numFmtId="0" fontId="70" fillId="15" borderId="1" xfId="0" applyFont="1" applyFill="1" applyBorder="1" applyAlignment="1" applyProtection="1">
      <alignment horizontal="center" vertical="center"/>
      <protection locked="0"/>
    </xf>
    <xf numFmtId="0" fontId="70" fillId="15" borderId="26" xfId="0" applyFont="1" applyFill="1" applyBorder="1" applyAlignment="1" applyProtection="1">
      <alignment horizontal="center" vertical="center"/>
      <protection locked="0"/>
    </xf>
    <xf numFmtId="0" fontId="70" fillId="15" borderId="14" xfId="0" applyFont="1" applyFill="1" applyBorder="1" applyAlignment="1" applyProtection="1">
      <alignment horizontal="center" vertical="center"/>
      <protection locked="0"/>
    </xf>
    <xf numFmtId="177" fontId="61" fillId="15" borderId="83" xfId="0" applyNumberFormat="1" applyFont="1" applyFill="1" applyBorder="1" applyAlignment="1" applyProtection="1">
      <alignment horizontal="center" vertical="center"/>
      <protection locked="0"/>
    </xf>
    <xf numFmtId="177" fontId="61" fillId="15" borderId="84" xfId="0" applyNumberFormat="1" applyFont="1" applyFill="1" applyBorder="1" applyAlignment="1" applyProtection="1">
      <alignment horizontal="center" vertical="center"/>
      <protection locked="0"/>
    </xf>
    <xf numFmtId="177" fontId="88" fillId="15" borderId="86" xfId="0" applyNumberFormat="1" applyFont="1" applyFill="1" applyBorder="1" applyAlignment="1" applyProtection="1">
      <alignment horizontal="center" vertical="center"/>
      <protection locked="0"/>
    </xf>
    <xf numFmtId="177" fontId="88" fillId="15" borderId="87" xfId="0" applyNumberFormat="1" applyFont="1" applyFill="1" applyBorder="1" applyAlignment="1" applyProtection="1">
      <alignment horizontal="center" vertical="center"/>
      <protection locked="0"/>
    </xf>
    <xf numFmtId="177" fontId="72" fillId="15" borderId="86" xfId="0" applyNumberFormat="1" applyFont="1" applyFill="1" applyBorder="1" applyAlignment="1" applyProtection="1">
      <alignment horizontal="center" vertical="center"/>
      <protection locked="0"/>
    </xf>
    <xf numFmtId="177" fontId="72" fillId="15" borderId="88" xfId="0" applyNumberFormat="1" applyFont="1" applyFill="1" applyBorder="1" applyAlignment="1" applyProtection="1">
      <alignment horizontal="center" vertical="center"/>
      <protection locked="0"/>
    </xf>
    <xf numFmtId="0" fontId="69" fillId="15" borderId="50" xfId="5" applyFont="1" applyFill="1" applyBorder="1" applyAlignment="1" applyProtection="1">
      <alignment horizontal="center" vertical="center" textRotation="255"/>
      <protection locked="0"/>
    </xf>
    <xf numFmtId="0" fontId="69" fillId="15" borderId="15" xfId="5" applyFont="1" applyFill="1" applyBorder="1" applyAlignment="1" applyProtection="1">
      <alignment horizontal="center" vertical="center" textRotation="255"/>
      <protection locked="0"/>
    </xf>
    <xf numFmtId="0" fontId="69" fillId="15" borderId="11" xfId="5" applyFont="1" applyFill="1" applyBorder="1" applyAlignment="1" applyProtection="1">
      <alignment horizontal="center" vertical="center" textRotation="255"/>
      <protection locked="0"/>
    </xf>
    <xf numFmtId="0" fontId="61" fillId="15" borderId="81" xfId="0" applyFont="1" applyFill="1" applyBorder="1" applyAlignment="1" applyProtection="1">
      <alignment horizontal="left" vertical="center" wrapText="1"/>
      <protection locked="0"/>
    </xf>
    <xf numFmtId="0" fontId="61" fillId="15" borderId="47" xfId="0" applyFont="1" applyFill="1" applyBorder="1" applyAlignment="1" applyProtection="1">
      <alignment horizontal="left" vertical="center"/>
      <protection locked="0"/>
    </xf>
    <xf numFmtId="0" fontId="69" fillId="15" borderId="82" xfId="0" applyFont="1" applyFill="1" applyBorder="1" applyAlignment="1" applyProtection="1">
      <alignment horizontal="center" vertical="center"/>
      <protection locked="0"/>
    </xf>
    <xf numFmtId="0" fontId="69" fillId="15" borderId="51" xfId="0" applyFont="1" applyFill="1" applyBorder="1" applyAlignment="1" applyProtection="1">
      <alignment horizontal="center" vertical="center"/>
      <protection locked="0"/>
    </xf>
    <xf numFmtId="0" fontId="69" fillId="15" borderId="53" xfId="0" applyFont="1" applyFill="1" applyBorder="1" applyAlignment="1" applyProtection="1">
      <alignment horizontal="center" vertical="center"/>
      <protection locked="0"/>
    </xf>
    <xf numFmtId="0" fontId="69" fillId="15" borderId="52" xfId="0" applyFont="1" applyFill="1" applyBorder="1" applyAlignment="1" applyProtection="1">
      <alignment horizontal="center" vertical="center"/>
      <protection locked="0"/>
    </xf>
    <xf numFmtId="0" fontId="69" fillId="15" borderId="54" xfId="0" applyFont="1" applyFill="1" applyBorder="1" applyAlignment="1" applyProtection="1">
      <alignment horizontal="center" vertical="center"/>
      <protection locked="0"/>
    </xf>
    <xf numFmtId="0" fontId="61" fillId="15" borderId="1" xfId="0" applyFont="1" applyFill="1" applyBorder="1" applyAlignment="1" applyProtection="1">
      <alignment horizontal="center" vertical="center"/>
      <protection locked="0"/>
    </xf>
    <xf numFmtId="177" fontId="70" fillId="15" borderId="1" xfId="0" applyNumberFormat="1" applyFont="1" applyFill="1" applyBorder="1" applyAlignment="1" applyProtection="1">
      <alignment horizontal="center" vertical="center"/>
      <protection locked="0"/>
    </xf>
    <xf numFmtId="177" fontId="70" fillId="15" borderId="16" xfId="0" applyNumberFormat="1" applyFont="1" applyFill="1" applyBorder="1" applyAlignment="1" applyProtection="1">
      <alignment horizontal="center" vertical="center"/>
      <protection locked="0"/>
    </xf>
    <xf numFmtId="0" fontId="69" fillId="15" borderId="4" xfId="0" applyFont="1" applyFill="1" applyBorder="1" applyAlignment="1" applyProtection="1">
      <alignment horizontal="center" vertical="center"/>
      <protection locked="0"/>
    </xf>
    <xf numFmtId="0" fontId="69" fillId="15" borderId="16" xfId="0" applyFont="1" applyFill="1" applyBorder="1" applyAlignment="1" applyProtection="1">
      <alignment horizontal="center" vertical="center"/>
      <protection locked="0"/>
    </xf>
    <xf numFmtId="177" fontId="70" fillId="15" borderId="35" xfId="0" applyNumberFormat="1" applyFont="1" applyFill="1" applyBorder="1" applyAlignment="1" applyProtection="1">
      <alignment horizontal="center" vertical="center"/>
      <protection locked="0"/>
    </xf>
    <xf numFmtId="177" fontId="70" fillId="15" borderId="7" xfId="0" applyNumberFormat="1" applyFont="1" applyFill="1" applyBorder="1" applyAlignment="1" applyProtection="1">
      <alignment horizontal="center" vertical="center"/>
      <protection locked="0"/>
    </xf>
    <xf numFmtId="177" fontId="70" fillId="15" borderId="28" xfId="0" applyNumberFormat="1" applyFont="1" applyFill="1" applyBorder="1" applyAlignment="1" applyProtection="1">
      <alignment horizontal="center" vertical="center"/>
      <protection locked="0"/>
    </xf>
    <xf numFmtId="177" fontId="70" fillId="15" borderId="30" xfId="0" applyNumberFormat="1" applyFont="1" applyFill="1" applyBorder="1" applyAlignment="1" applyProtection="1">
      <alignment horizontal="center" vertical="center"/>
      <protection locked="0"/>
    </xf>
    <xf numFmtId="177" fontId="88" fillId="15" borderId="46" xfId="0" applyNumberFormat="1" applyFont="1" applyFill="1" applyBorder="1" applyAlignment="1" applyProtection="1">
      <alignment horizontal="center" vertical="center"/>
      <protection locked="0"/>
    </xf>
    <xf numFmtId="177" fontId="88" fillId="15" borderId="7" xfId="0" applyNumberFormat="1" applyFont="1" applyFill="1" applyBorder="1" applyAlignment="1" applyProtection="1">
      <alignment horizontal="center" vertical="center"/>
      <protection locked="0"/>
    </xf>
    <xf numFmtId="177" fontId="88" fillId="15" borderId="63" xfId="0" applyNumberFormat="1" applyFont="1" applyFill="1" applyBorder="1" applyAlignment="1" applyProtection="1">
      <alignment horizontal="center" vertical="center"/>
      <protection locked="0"/>
    </xf>
    <xf numFmtId="177" fontId="88" fillId="15" borderId="34" xfId="0" applyNumberFormat="1" applyFont="1" applyFill="1" applyBorder="1" applyAlignment="1" applyProtection="1">
      <alignment horizontal="center" vertical="center"/>
      <protection locked="0"/>
    </xf>
    <xf numFmtId="177" fontId="70" fillId="15" borderId="23" xfId="0" applyNumberFormat="1" applyFont="1" applyFill="1" applyBorder="1" applyAlignment="1" applyProtection="1">
      <alignment horizontal="center" vertical="center"/>
      <protection locked="0"/>
    </xf>
    <xf numFmtId="177" fontId="70" fillId="15" borderId="26" xfId="0" applyNumberFormat="1" applyFont="1" applyFill="1" applyBorder="1" applyAlignment="1" applyProtection="1">
      <alignment horizontal="center" vertical="center"/>
      <protection locked="0"/>
    </xf>
    <xf numFmtId="0" fontId="92" fillId="15" borderId="82" xfId="0" applyFont="1" applyFill="1" applyBorder="1" applyAlignment="1" applyProtection="1">
      <alignment horizontal="center" vertical="center" wrapText="1"/>
      <protection locked="0"/>
    </xf>
    <xf numFmtId="0" fontId="92" fillId="15" borderId="64" xfId="0" applyFont="1" applyFill="1" applyBorder="1" applyAlignment="1" applyProtection="1">
      <alignment horizontal="center" vertical="center" wrapText="1"/>
      <protection locked="0"/>
    </xf>
    <xf numFmtId="0" fontId="92" fillId="15" borderId="1" xfId="0" applyFont="1" applyFill="1" applyBorder="1" applyAlignment="1" applyProtection="1">
      <alignment horizontal="center" vertical="center" wrapText="1"/>
      <protection locked="0"/>
    </xf>
    <xf numFmtId="0" fontId="92" fillId="15" borderId="16" xfId="0" applyFont="1" applyFill="1" applyBorder="1" applyAlignment="1" applyProtection="1">
      <alignment horizontal="center" vertical="center" wrapText="1"/>
      <protection locked="0"/>
    </xf>
    <xf numFmtId="0" fontId="61" fillId="15" borderId="2" xfId="0" applyFont="1" applyFill="1" applyBorder="1" applyAlignment="1" applyProtection="1">
      <alignment horizontal="center" vertical="center"/>
      <protection locked="0"/>
    </xf>
    <xf numFmtId="0" fontId="61" fillId="15" borderId="8" xfId="0" applyFont="1" applyFill="1" applyBorder="1" applyAlignment="1" applyProtection="1">
      <alignment horizontal="center" vertical="center"/>
      <protection locked="0"/>
    </xf>
    <xf numFmtId="0" fontId="69" fillId="15" borderId="23" xfId="0" applyFont="1" applyFill="1" applyBorder="1" applyAlignment="1" applyProtection="1">
      <alignment horizontal="center" vertical="center"/>
      <protection locked="0"/>
    </xf>
    <xf numFmtId="0" fontId="69" fillId="15" borderId="6" xfId="0" applyFont="1" applyFill="1" applyBorder="1" applyAlignment="1" applyProtection="1">
      <alignment horizontal="center" vertical="center"/>
      <protection locked="0"/>
    </xf>
    <xf numFmtId="0" fontId="69" fillId="15" borderId="2" xfId="0" applyFont="1" applyFill="1" applyBorder="1" applyAlignment="1" applyProtection="1">
      <alignment horizontal="center" vertical="center"/>
      <protection locked="0"/>
    </xf>
    <xf numFmtId="0" fontId="69" fillId="15" borderId="27" xfId="0" applyFont="1" applyFill="1" applyBorder="1" applyAlignment="1" applyProtection="1">
      <alignment horizontal="center" vertical="center"/>
      <protection locked="0"/>
    </xf>
    <xf numFmtId="177" fontId="88" fillId="15" borderId="48" xfId="0" applyNumberFormat="1" applyFont="1" applyFill="1" applyBorder="1" applyAlignment="1" applyProtection="1">
      <alignment horizontal="center" vertical="center"/>
      <protection locked="0"/>
    </xf>
    <xf numFmtId="177" fontId="88" fillId="15" borderId="30" xfId="0" applyNumberFormat="1" applyFont="1" applyFill="1" applyBorder="1" applyAlignment="1" applyProtection="1">
      <alignment horizontal="center" vertical="center"/>
      <protection locked="0"/>
    </xf>
    <xf numFmtId="0" fontId="59" fillId="15" borderId="50" xfId="0" applyFont="1" applyFill="1" applyBorder="1" applyAlignment="1" applyProtection="1">
      <alignment horizontal="center" vertical="center" textRotation="255"/>
      <protection locked="0"/>
    </xf>
    <xf numFmtId="0" fontId="59" fillId="15" borderId="15" xfId="0" applyFont="1" applyFill="1" applyBorder="1" applyAlignment="1" applyProtection="1">
      <alignment horizontal="center" vertical="center" textRotation="255"/>
      <protection locked="0"/>
    </xf>
    <xf numFmtId="0" fontId="59" fillId="15" borderId="11" xfId="0" applyFont="1" applyFill="1" applyBorder="1" applyAlignment="1" applyProtection="1">
      <alignment horizontal="center" vertical="center" textRotation="255"/>
      <protection locked="0"/>
    </xf>
    <xf numFmtId="0" fontId="61" fillId="15" borderId="85" xfId="0" applyFont="1" applyFill="1" applyBorder="1" applyAlignment="1" applyProtection="1">
      <alignment horizontal="left" vertical="center" wrapText="1"/>
      <protection locked="0"/>
    </xf>
    <xf numFmtId="0" fontId="61" fillId="15" borderId="49" xfId="0" applyFont="1" applyFill="1" applyBorder="1" applyAlignment="1" applyProtection="1">
      <alignment horizontal="left" vertical="center"/>
      <protection locked="0"/>
    </xf>
    <xf numFmtId="0" fontId="69" fillId="15" borderId="64" xfId="0" applyFont="1" applyFill="1" applyBorder="1" applyAlignment="1" applyProtection="1">
      <alignment horizontal="center" vertical="center"/>
      <protection locked="0"/>
    </xf>
    <xf numFmtId="0" fontId="91" fillId="15" borderId="29" xfId="0" applyFont="1" applyFill="1" applyBorder="1" applyAlignment="1" applyProtection="1">
      <alignment horizontal="center" vertical="center" wrapText="1"/>
      <protection locked="0"/>
    </xf>
    <xf numFmtId="0" fontId="61" fillId="15" borderId="32" xfId="0" applyFont="1" applyFill="1" applyBorder="1" applyAlignment="1" applyProtection="1">
      <alignment horizontal="center" vertical="center" wrapText="1"/>
      <protection locked="0"/>
    </xf>
    <xf numFmtId="0" fontId="61" fillId="15" borderId="28" xfId="0" applyFont="1" applyFill="1" applyBorder="1" applyAlignment="1" applyProtection="1">
      <alignment horizontal="center" vertical="center" wrapText="1"/>
      <protection locked="0"/>
    </xf>
    <xf numFmtId="0" fontId="61" fillId="15" borderId="30" xfId="0" applyFont="1" applyFill="1" applyBorder="1" applyAlignment="1" applyProtection="1">
      <alignment horizontal="center" vertical="center" wrapText="1"/>
      <protection locked="0"/>
    </xf>
    <xf numFmtId="0" fontId="61" fillId="15" borderId="31" xfId="0" applyFont="1" applyFill="1" applyBorder="1" applyAlignment="1" applyProtection="1">
      <alignment horizontal="center" vertical="center" wrapText="1"/>
      <protection locked="0"/>
    </xf>
    <xf numFmtId="0" fontId="61" fillId="15" borderId="48" xfId="0" applyFont="1" applyFill="1" applyBorder="1" applyAlignment="1" applyProtection="1">
      <alignment horizontal="center" vertical="center" wrapText="1"/>
      <protection locked="0"/>
    </xf>
    <xf numFmtId="0" fontId="69" fillId="10" borderId="2" xfId="0" applyFont="1" applyFill="1" applyBorder="1" applyAlignment="1" applyProtection="1">
      <alignment horizontal="center" vertical="center"/>
      <protection locked="0"/>
    </xf>
    <xf numFmtId="0" fontId="69" fillId="10" borderId="27" xfId="0" applyFont="1" applyFill="1" applyBorder="1" applyAlignment="1" applyProtection="1">
      <alignment horizontal="center" vertical="center"/>
      <protection locked="0"/>
    </xf>
    <xf numFmtId="0" fontId="69" fillId="10" borderId="1" xfId="0" applyFont="1" applyFill="1" applyBorder="1" applyAlignment="1" applyProtection="1">
      <alignment horizontal="center" vertical="center"/>
      <protection locked="0"/>
    </xf>
    <xf numFmtId="0" fontId="70" fillId="13" borderId="1" xfId="0" applyFont="1" applyFill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0" borderId="69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center" vertical="center" wrapText="1"/>
      <protection locked="0"/>
    </xf>
    <xf numFmtId="0" fontId="12" fillId="0" borderId="67" xfId="0" applyFont="1" applyBorder="1" applyAlignment="1" applyProtection="1">
      <alignment horizontal="center" vertical="center" wrapText="1"/>
      <protection locked="0"/>
    </xf>
    <xf numFmtId="0" fontId="12" fillId="0" borderId="75" xfId="0" applyFont="1" applyBorder="1" applyAlignment="1" applyProtection="1">
      <alignment horizontal="center" vertical="center" wrapText="1"/>
      <protection locked="0"/>
    </xf>
    <xf numFmtId="0" fontId="12" fillId="0" borderId="76" xfId="0" applyFont="1" applyBorder="1" applyAlignment="1" applyProtection="1">
      <alignment horizontal="center" vertical="center" wrapText="1"/>
      <protection locked="0"/>
    </xf>
    <xf numFmtId="0" fontId="12" fillId="0" borderId="77" xfId="0" applyFont="1" applyBorder="1" applyAlignment="1" applyProtection="1">
      <alignment horizontal="center" vertical="center" wrapText="1"/>
      <protection locked="0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64" fillId="0" borderId="68" xfId="0" applyFont="1" applyBorder="1" applyAlignment="1" applyProtection="1">
      <alignment horizontal="center" vertical="center" wrapText="1"/>
      <protection locked="0"/>
    </xf>
    <xf numFmtId="0" fontId="64" fillId="0" borderId="69" xfId="0" applyFont="1" applyBorder="1" applyAlignment="1" applyProtection="1">
      <alignment horizontal="center" vertical="center" wrapText="1"/>
      <protection locked="0"/>
    </xf>
    <xf numFmtId="0" fontId="64" fillId="0" borderId="70" xfId="0" applyFont="1" applyBorder="1" applyAlignment="1" applyProtection="1">
      <alignment horizontal="center" vertical="center" wrapText="1"/>
      <protection locked="0"/>
    </xf>
    <xf numFmtId="0" fontId="64" fillId="0" borderId="71" xfId="0" applyFont="1" applyBorder="1" applyAlignment="1" applyProtection="1">
      <alignment horizontal="center" vertical="center" wrapText="1"/>
      <protection locked="0"/>
    </xf>
    <xf numFmtId="0" fontId="64" fillId="0" borderId="66" xfId="0" applyFont="1" applyBorder="1" applyAlignment="1" applyProtection="1">
      <alignment horizontal="center" vertical="center" wrapText="1"/>
      <protection locked="0"/>
    </xf>
    <xf numFmtId="0" fontId="64" fillId="0" borderId="67" xfId="0" applyFont="1" applyBorder="1" applyAlignment="1" applyProtection="1">
      <alignment horizontal="center" vertical="center" wrapText="1"/>
      <protection locked="0"/>
    </xf>
    <xf numFmtId="41" fontId="72" fillId="0" borderId="72" xfId="0" applyNumberFormat="1" applyFont="1" applyFill="1" applyBorder="1" applyAlignment="1" applyProtection="1">
      <alignment horizontal="center" vertical="center"/>
      <protection locked="0"/>
    </xf>
    <xf numFmtId="41" fontId="72" fillId="0" borderId="65" xfId="0" applyNumberFormat="1" applyFont="1" applyFill="1" applyBorder="1" applyAlignment="1" applyProtection="1">
      <alignment horizontal="center" vertical="center"/>
      <protection locked="0"/>
    </xf>
    <xf numFmtId="41" fontId="68" fillId="0" borderId="73" xfId="0" applyNumberFormat="1" applyFont="1" applyFill="1" applyBorder="1" applyAlignment="1" applyProtection="1">
      <alignment horizontal="center" vertical="center"/>
      <protection locked="0"/>
    </xf>
    <xf numFmtId="41" fontId="88" fillId="13" borderId="74" xfId="0" applyNumberFormat="1" applyFont="1" applyFill="1" applyBorder="1" applyAlignment="1" applyProtection="1">
      <alignment horizontal="center" vertical="center"/>
      <protection locked="0"/>
    </xf>
    <xf numFmtId="41" fontId="88" fillId="13" borderId="79" xfId="0" applyNumberFormat="1" applyFont="1" applyFill="1" applyBorder="1" applyAlignment="1" applyProtection="1">
      <alignment horizontal="center" vertical="center"/>
      <protection locked="0"/>
    </xf>
    <xf numFmtId="0" fontId="61" fillId="0" borderId="1" xfId="0" applyFont="1" applyFill="1" applyBorder="1" applyAlignment="1" applyProtection="1">
      <alignment horizontal="center" vertical="center"/>
      <protection locked="0"/>
    </xf>
    <xf numFmtId="0" fontId="70" fillId="13" borderId="26" xfId="0" applyFont="1" applyFill="1" applyBorder="1" applyAlignment="1" applyProtection="1">
      <alignment horizontal="center" vertical="center"/>
      <protection locked="0"/>
    </xf>
    <xf numFmtId="0" fontId="70" fillId="13" borderId="14" xfId="0" applyFont="1" applyFill="1" applyBorder="1" applyAlignment="1" applyProtection="1">
      <alignment horizontal="center" vertical="center"/>
      <protection locked="0"/>
    </xf>
    <xf numFmtId="0" fontId="69" fillId="0" borderId="23" xfId="0" applyFont="1" applyFill="1" applyBorder="1" applyAlignment="1" applyProtection="1">
      <alignment horizontal="center" vertical="center"/>
      <protection locked="0"/>
    </xf>
    <xf numFmtId="0" fontId="69" fillId="0" borderId="6" xfId="0" applyFont="1" applyFill="1" applyBorder="1" applyAlignment="1" applyProtection="1">
      <alignment horizontal="center" vertical="center"/>
      <protection locked="0"/>
    </xf>
    <xf numFmtId="0" fontId="69" fillId="0" borderId="1" xfId="0" applyFont="1" applyFill="1" applyBorder="1" applyAlignment="1" applyProtection="1">
      <alignment horizontal="center" vertical="center"/>
      <protection locked="0"/>
    </xf>
    <xf numFmtId="0" fontId="69" fillId="0" borderId="4" xfId="0" applyFont="1" applyFill="1" applyBorder="1" applyAlignment="1" applyProtection="1">
      <alignment horizontal="center" vertical="center"/>
      <protection locked="0"/>
    </xf>
    <xf numFmtId="0" fontId="61" fillId="0" borderId="81" xfId="0" applyFont="1" applyFill="1" applyBorder="1" applyAlignment="1" applyProtection="1">
      <alignment horizontal="left" vertical="center" wrapText="1"/>
      <protection locked="0"/>
    </xf>
    <xf numFmtId="0" fontId="61" fillId="0" borderId="47" xfId="0" applyFont="1" applyFill="1" applyBorder="1" applyAlignment="1" applyProtection="1">
      <alignment horizontal="left" vertical="center"/>
      <protection locked="0"/>
    </xf>
    <xf numFmtId="0" fontId="69" fillId="4" borderId="56" xfId="5" applyFont="1" applyFill="1" applyBorder="1" applyAlignment="1" applyProtection="1">
      <alignment horizontal="center" vertical="center"/>
      <protection locked="0"/>
    </xf>
    <xf numFmtId="0" fontId="69" fillId="4" borderId="57" xfId="5" applyFont="1" applyFill="1" applyBorder="1" applyAlignment="1" applyProtection="1">
      <alignment horizontal="center" vertical="center"/>
      <protection locked="0"/>
    </xf>
    <xf numFmtId="0" fontId="69" fillId="4" borderId="59" xfId="5" applyFont="1" applyFill="1" applyBorder="1" applyAlignment="1" applyProtection="1">
      <alignment horizontal="center" vertical="center"/>
      <protection locked="0"/>
    </xf>
    <xf numFmtId="0" fontId="69" fillId="0" borderId="2" xfId="5" applyFont="1" applyBorder="1" applyAlignment="1" applyProtection="1">
      <alignment horizontal="center" vertical="center"/>
      <protection locked="0"/>
    </xf>
    <xf numFmtId="0" fontId="69" fillId="0" borderId="5" xfId="5" applyFont="1" applyBorder="1" applyAlignment="1" applyProtection="1">
      <alignment horizontal="center" vertical="center"/>
      <protection locked="0"/>
    </xf>
    <xf numFmtId="0" fontId="69" fillId="0" borderId="27" xfId="5" applyFont="1" applyBorder="1" applyAlignment="1" applyProtection="1">
      <alignment horizontal="center" vertical="center"/>
      <protection locked="0"/>
    </xf>
    <xf numFmtId="0" fontId="69" fillId="0" borderId="1" xfId="5" applyFont="1" applyBorder="1" applyAlignment="1" applyProtection="1">
      <alignment horizontal="center" vertical="center"/>
      <protection locked="0"/>
    </xf>
    <xf numFmtId="0" fontId="88" fillId="0" borderId="46" xfId="6" applyFont="1" applyFill="1" applyBorder="1" applyAlignment="1" applyProtection="1">
      <alignment horizontal="center" vertical="center"/>
      <protection locked="0"/>
    </xf>
    <xf numFmtId="0" fontId="88" fillId="0" borderId="7" xfId="6" applyFont="1" applyFill="1" applyBorder="1" applyAlignment="1" applyProtection="1">
      <alignment horizontal="center" vertical="center"/>
      <protection locked="0"/>
    </xf>
    <xf numFmtId="0" fontId="88" fillId="13" borderId="40" xfId="6" applyFont="1" applyFill="1" applyBorder="1" applyAlignment="1" applyProtection="1">
      <alignment horizontal="center" vertical="center"/>
      <protection locked="0"/>
    </xf>
    <xf numFmtId="0" fontId="88" fillId="13" borderId="62" xfId="6" applyFont="1" applyFill="1" applyBorder="1" applyAlignment="1" applyProtection="1">
      <alignment horizontal="center" vertical="center"/>
      <protection locked="0"/>
    </xf>
    <xf numFmtId="0" fontId="88" fillId="0" borderId="40" xfId="6" applyFont="1" applyFill="1" applyBorder="1" applyAlignment="1" applyProtection="1">
      <alignment horizontal="center" vertical="center"/>
      <protection locked="0"/>
    </xf>
    <xf numFmtId="0" fontId="88" fillId="0" borderId="62" xfId="6" applyFont="1" applyFill="1" applyBorder="1" applyAlignment="1" applyProtection="1">
      <alignment horizontal="center" vertical="center"/>
      <protection locked="0"/>
    </xf>
    <xf numFmtId="0" fontId="59" fillId="4" borderId="56" xfId="5" applyFont="1" applyFill="1" applyBorder="1" applyAlignment="1" applyProtection="1">
      <alignment horizontal="center" vertical="center"/>
      <protection locked="0"/>
    </xf>
    <xf numFmtId="0" fontId="59" fillId="4" borderId="57" xfId="5" applyFont="1" applyFill="1" applyBorder="1" applyAlignment="1" applyProtection="1">
      <alignment horizontal="center" vertical="center"/>
      <protection locked="0"/>
    </xf>
    <xf numFmtId="0" fontId="59" fillId="4" borderId="58" xfId="5" applyFont="1" applyFill="1" applyBorder="1" applyAlignment="1" applyProtection="1">
      <alignment horizontal="center" vertical="center"/>
      <protection locked="0"/>
    </xf>
    <xf numFmtId="0" fontId="59" fillId="0" borderId="50" xfId="0" applyFont="1" applyBorder="1" applyAlignment="1" applyProtection="1">
      <alignment horizontal="center" vertical="center" textRotation="255"/>
      <protection locked="0"/>
    </xf>
    <xf numFmtId="0" fontId="59" fillId="0" borderId="15" xfId="0" applyFont="1" applyBorder="1" applyAlignment="1" applyProtection="1">
      <alignment horizontal="center" vertical="center" textRotation="255"/>
      <protection locked="0"/>
    </xf>
    <xf numFmtId="0" fontId="59" fillId="0" borderId="11" xfId="0" applyFont="1" applyBorder="1" applyAlignment="1" applyProtection="1">
      <alignment horizontal="center" vertical="center" textRotation="255"/>
      <protection locked="0"/>
    </xf>
    <xf numFmtId="0" fontId="69" fillId="10" borderId="16" xfId="0" applyFont="1" applyFill="1" applyBorder="1" applyAlignment="1" applyProtection="1">
      <alignment horizontal="center" vertical="center"/>
      <protection locked="0"/>
    </xf>
    <xf numFmtId="41" fontId="61" fillId="0" borderId="17" xfId="0" applyNumberFormat="1" applyFont="1" applyFill="1" applyBorder="1" applyAlignment="1" applyProtection="1">
      <alignment horizontal="center" vertical="center"/>
      <protection locked="0"/>
    </xf>
    <xf numFmtId="41" fontId="61" fillId="0" borderId="21" xfId="0" applyNumberFormat="1" applyFont="1" applyFill="1" applyBorder="1" applyAlignment="1" applyProtection="1">
      <alignment horizontal="center" vertical="center"/>
      <protection locked="0"/>
    </xf>
    <xf numFmtId="0" fontId="61" fillId="0" borderId="85" xfId="0" applyFont="1" applyFill="1" applyBorder="1" applyAlignment="1" applyProtection="1">
      <alignment horizontal="left" vertical="center" wrapText="1"/>
      <protection locked="0"/>
    </xf>
    <xf numFmtId="0" fontId="61" fillId="0" borderId="49" xfId="0" applyFont="1" applyFill="1" applyBorder="1" applyAlignment="1" applyProtection="1">
      <alignment horizontal="left" vertical="center"/>
      <protection locked="0"/>
    </xf>
    <xf numFmtId="0" fontId="69" fillId="0" borderId="82" xfId="0" applyFont="1" applyFill="1" applyBorder="1" applyAlignment="1" applyProtection="1">
      <alignment horizontal="center" vertical="center"/>
      <protection locked="0"/>
    </xf>
    <xf numFmtId="0" fontId="69" fillId="0" borderId="50" xfId="5" applyFont="1" applyBorder="1" applyAlignment="1" applyProtection="1">
      <alignment horizontal="center" vertical="center" textRotation="255"/>
      <protection locked="0"/>
    </xf>
    <xf numFmtId="0" fontId="69" fillId="0" borderId="15" xfId="5" applyFont="1" applyBorder="1" applyAlignment="1" applyProtection="1">
      <alignment horizontal="center" vertical="center" textRotation="255"/>
      <protection locked="0"/>
    </xf>
    <xf numFmtId="0" fontId="69" fillId="0" borderId="11" xfId="5" applyFont="1" applyBorder="1" applyAlignment="1" applyProtection="1">
      <alignment horizontal="center" vertical="center" textRotation="255"/>
      <protection locked="0"/>
    </xf>
    <xf numFmtId="41" fontId="61" fillId="0" borderId="9" xfId="0" applyNumberFormat="1" applyFont="1" applyFill="1" applyBorder="1" applyAlignment="1" applyProtection="1">
      <alignment horizontal="center" vertical="center"/>
      <protection locked="0"/>
    </xf>
    <xf numFmtId="41" fontId="61" fillId="0" borderId="4" xfId="0" applyNumberFormat="1" applyFont="1" applyFill="1" applyBorder="1" applyAlignment="1" applyProtection="1">
      <alignment horizontal="center" vertical="center"/>
      <protection locked="0"/>
    </xf>
    <xf numFmtId="41" fontId="61" fillId="0" borderId="2" xfId="0" applyNumberFormat="1" applyFont="1" applyFill="1" applyBorder="1" applyAlignment="1" applyProtection="1">
      <alignment horizontal="center" vertical="center"/>
      <protection locked="0"/>
    </xf>
    <xf numFmtId="41" fontId="61" fillId="0" borderId="27" xfId="0" applyNumberFormat="1" applyFont="1" applyFill="1" applyBorder="1" applyAlignment="1" applyProtection="1">
      <alignment horizontal="center" vertical="center"/>
      <protection locked="0"/>
    </xf>
    <xf numFmtId="0" fontId="69" fillId="0" borderId="51" xfId="0" applyFont="1" applyFill="1" applyBorder="1" applyAlignment="1" applyProtection="1">
      <alignment horizontal="center" vertical="center"/>
      <protection locked="0"/>
    </xf>
    <xf numFmtId="0" fontId="69" fillId="0" borderId="53" xfId="0" applyFont="1" applyFill="1" applyBorder="1" applyAlignment="1" applyProtection="1">
      <alignment horizontal="center" vertical="center"/>
      <protection locked="0"/>
    </xf>
    <xf numFmtId="0" fontId="69" fillId="0" borderId="51" xfId="5" applyFont="1" applyBorder="1" applyAlignment="1" applyProtection="1">
      <alignment horizontal="center" vertical="center"/>
      <protection locked="0"/>
    </xf>
    <xf numFmtId="0" fontId="69" fillId="0" borderId="52" xfId="5" applyFont="1" applyBorder="1" applyAlignment="1" applyProtection="1">
      <alignment horizontal="center" vertical="center"/>
      <protection locked="0"/>
    </xf>
    <xf numFmtId="0" fontId="69" fillId="0" borderId="53" xfId="5" applyFont="1" applyBorder="1" applyAlignment="1" applyProtection="1">
      <alignment horizontal="center" vertical="center"/>
      <protection locked="0"/>
    </xf>
    <xf numFmtId="0" fontId="72" fillId="13" borderId="51" xfId="5" applyFont="1" applyFill="1" applyBorder="1" applyAlignment="1" applyProtection="1">
      <alignment horizontal="center" vertical="center"/>
      <protection locked="0"/>
    </xf>
    <xf numFmtId="0" fontId="72" fillId="13" borderId="52" xfId="5" applyFont="1" applyFill="1" applyBorder="1" applyAlignment="1" applyProtection="1">
      <alignment horizontal="center" vertical="center"/>
      <protection locked="0"/>
    </xf>
    <xf numFmtId="0" fontId="72" fillId="13" borderId="54" xfId="5" applyFont="1" applyFill="1" applyBorder="1" applyAlignment="1" applyProtection="1">
      <alignment horizontal="center" vertical="center"/>
      <protection locked="0"/>
    </xf>
    <xf numFmtId="0" fontId="71" fillId="0" borderId="2" xfId="5" applyFont="1" applyBorder="1" applyAlignment="1" applyProtection="1">
      <alignment horizontal="center" vertical="center"/>
      <protection locked="0"/>
    </xf>
    <xf numFmtId="0" fontId="71" fillId="0" borderId="5" xfId="5" applyFont="1" applyBorder="1" applyAlignment="1" applyProtection="1">
      <alignment horizontal="center" vertical="center"/>
      <protection locked="0"/>
    </xf>
    <xf numFmtId="0" fontId="71" fillId="0" borderId="27" xfId="5" applyFont="1" applyBorder="1" applyAlignment="1" applyProtection="1">
      <alignment horizontal="center" vertical="center"/>
      <protection locked="0"/>
    </xf>
    <xf numFmtId="0" fontId="69" fillId="0" borderId="17" xfId="5" applyFont="1" applyBorder="1" applyAlignment="1" applyProtection="1">
      <alignment horizontal="center" vertical="center"/>
      <protection locked="0"/>
    </xf>
    <xf numFmtId="0" fontId="69" fillId="0" borderId="20" xfId="5" applyFont="1" applyBorder="1" applyAlignment="1" applyProtection="1">
      <alignment horizontal="center" vertical="center"/>
      <protection locked="0"/>
    </xf>
    <xf numFmtId="0" fontId="69" fillId="0" borderId="9" xfId="5" applyFont="1" applyBorder="1" applyAlignment="1" applyProtection="1">
      <alignment horizontal="center" vertical="center"/>
      <protection locked="0"/>
    </xf>
    <xf numFmtId="0" fontId="88" fillId="13" borderId="2" xfId="6" applyFont="1" applyFill="1" applyBorder="1" applyAlignment="1" applyProtection="1">
      <alignment horizontal="center" vertical="center"/>
      <protection locked="0"/>
    </xf>
    <xf numFmtId="0" fontId="88" fillId="13" borderId="27" xfId="6" applyFont="1" applyFill="1" applyBorder="1" applyAlignment="1" applyProtection="1">
      <alignment horizontal="center" vertical="center"/>
      <protection locked="0"/>
    </xf>
    <xf numFmtId="0" fontId="89" fillId="13" borderId="2" xfId="6" applyFont="1" applyFill="1" applyBorder="1" applyAlignment="1" applyProtection="1">
      <alignment horizontal="center" vertical="center"/>
      <protection locked="0"/>
    </xf>
    <xf numFmtId="0" fontId="89" fillId="13" borderId="27" xfId="6" applyFont="1" applyFill="1" applyBorder="1" applyAlignment="1" applyProtection="1">
      <alignment horizontal="center" vertical="center"/>
      <protection locked="0"/>
    </xf>
    <xf numFmtId="0" fontId="70" fillId="0" borderId="17" xfId="5" applyFont="1" applyBorder="1" applyAlignment="1" applyProtection="1">
      <alignment horizontal="center" vertical="center"/>
      <protection locked="0"/>
    </xf>
    <xf numFmtId="0" fontId="70" fillId="0" borderId="9" xfId="5" applyFont="1" applyBorder="1" applyAlignment="1" applyProtection="1">
      <alignment horizontal="center" vertical="center"/>
      <protection locked="0"/>
    </xf>
    <xf numFmtId="41" fontId="61" fillId="0" borderId="20" xfId="0" applyNumberFormat="1" applyFont="1" applyFill="1" applyBorder="1" applyAlignment="1" applyProtection="1">
      <alignment horizontal="center" vertical="center"/>
      <protection locked="0"/>
    </xf>
    <xf numFmtId="41" fontId="61" fillId="0" borderId="1" xfId="0" applyNumberFormat="1" applyFont="1" applyFill="1" applyBorder="1" applyAlignment="1" applyProtection="1">
      <alignment horizontal="center" vertical="center"/>
      <protection locked="0"/>
    </xf>
    <xf numFmtId="0" fontId="61" fillId="0" borderId="2" xfId="0" applyFont="1" applyFill="1" applyBorder="1" applyAlignment="1" applyProtection="1">
      <alignment horizontal="center" vertical="center"/>
      <protection locked="0"/>
    </xf>
    <xf numFmtId="0" fontId="61" fillId="0" borderId="8" xfId="0" applyFont="1" applyFill="1" applyBorder="1" applyAlignment="1" applyProtection="1">
      <alignment horizontal="center" vertical="center"/>
      <protection locked="0"/>
    </xf>
    <xf numFmtId="177" fontId="61" fillId="0" borderId="83" xfId="0" applyNumberFormat="1" applyFont="1" applyFill="1" applyBorder="1" applyAlignment="1" applyProtection="1">
      <alignment horizontal="center" vertical="center"/>
      <protection locked="0"/>
    </xf>
    <xf numFmtId="177" fontId="61" fillId="0" borderId="84" xfId="0" applyNumberFormat="1" applyFont="1" applyFill="1" applyBorder="1" applyAlignment="1" applyProtection="1">
      <alignment horizontal="center" vertical="center"/>
      <protection locked="0"/>
    </xf>
    <xf numFmtId="177" fontId="88" fillId="0" borderId="86" xfId="0" applyNumberFormat="1" applyFont="1" applyFill="1" applyBorder="1" applyAlignment="1" applyProtection="1">
      <alignment horizontal="center" vertical="center"/>
      <protection locked="0"/>
    </xf>
    <xf numFmtId="177" fontId="88" fillId="0" borderId="87" xfId="0" applyNumberFormat="1" applyFont="1" applyFill="1" applyBorder="1" applyAlignment="1" applyProtection="1">
      <alignment horizontal="center" vertical="center"/>
      <protection locked="0"/>
    </xf>
    <xf numFmtId="177" fontId="72" fillId="4" borderId="86" xfId="0" applyNumberFormat="1" applyFont="1" applyFill="1" applyBorder="1" applyAlignment="1" applyProtection="1">
      <alignment horizontal="center" vertical="center"/>
      <protection locked="0"/>
    </xf>
    <xf numFmtId="177" fontId="72" fillId="4" borderId="88" xfId="0" applyNumberFormat="1" applyFont="1" applyFill="1" applyBorder="1" applyAlignment="1" applyProtection="1">
      <alignment horizontal="center" vertical="center"/>
      <protection locked="0"/>
    </xf>
    <xf numFmtId="177" fontId="70" fillId="0" borderId="35" xfId="0" applyNumberFormat="1" applyFont="1" applyFill="1" applyBorder="1" applyAlignment="1" applyProtection="1">
      <alignment horizontal="center" vertical="center"/>
      <protection locked="0"/>
    </xf>
    <xf numFmtId="177" fontId="70" fillId="0" borderId="7" xfId="0" applyNumberFormat="1" applyFont="1" applyFill="1" applyBorder="1" applyAlignment="1" applyProtection="1">
      <alignment horizontal="center" vertical="center"/>
      <protection locked="0"/>
    </xf>
    <xf numFmtId="177" fontId="70" fillId="0" borderId="28" xfId="0" applyNumberFormat="1" applyFont="1" applyFill="1" applyBorder="1" applyAlignment="1" applyProtection="1">
      <alignment horizontal="center" vertical="center"/>
      <protection locked="0"/>
    </xf>
    <xf numFmtId="177" fontId="70" fillId="0" borderId="30" xfId="0" applyNumberFormat="1" applyFont="1" applyFill="1" applyBorder="1" applyAlignment="1" applyProtection="1">
      <alignment horizontal="center" vertical="center"/>
      <protection locked="0"/>
    </xf>
    <xf numFmtId="177" fontId="88" fillId="0" borderId="46" xfId="0" applyNumberFormat="1" applyFont="1" applyFill="1" applyBorder="1" applyAlignment="1" applyProtection="1">
      <alignment horizontal="center" vertical="center"/>
      <protection locked="0"/>
    </xf>
    <xf numFmtId="177" fontId="88" fillId="0" borderId="7" xfId="0" applyNumberFormat="1" applyFont="1" applyFill="1" applyBorder="1" applyAlignment="1" applyProtection="1">
      <alignment horizontal="center" vertical="center"/>
      <protection locked="0"/>
    </xf>
    <xf numFmtId="177" fontId="88" fillId="0" borderId="48" xfId="0" applyNumberFormat="1" applyFont="1" applyFill="1" applyBorder="1" applyAlignment="1" applyProtection="1">
      <alignment horizontal="center" vertical="center"/>
      <protection locked="0"/>
    </xf>
    <xf numFmtId="177" fontId="88" fillId="0" borderId="30" xfId="0" applyNumberFormat="1" applyFont="1" applyFill="1" applyBorder="1" applyAlignment="1" applyProtection="1">
      <alignment horizontal="center" vertical="center"/>
      <protection locked="0"/>
    </xf>
    <xf numFmtId="0" fontId="61" fillId="0" borderId="31" xfId="0" applyFont="1" applyFill="1" applyBorder="1" applyAlignment="1" applyProtection="1">
      <alignment horizontal="center" vertical="center" wrapText="1"/>
      <protection locked="0"/>
    </xf>
    <xf numFmtId="0" fontId="61" fillId="0" borderId="32" xfId="0" applyFont="1" applyFill="1" applyBorder="1" applyAlignment="1" applyProtection="1">
      <alignment horizontal="center" vertical="center" wrapText="1"/>
      <protection locked="0"/>
    </xf>
    <xf numFmtId="0" fontId="61" fillId="0" borderId="48" xfId="0" applyFont="1" applyFill="1" applyBorder="1" applyAlignment="1" applyProtection="1">
      <alignment horizontal="center" vertical="center" wrapText="1"/>
      <protection locked="0"/>
    </xf>
    <xf numFmtId="0" fontId="61" fillId="0" borderId="30" xfId="0" applyFont="1" applyFill="1" applyBorder="1" applyAlignment="1" applyProtection="1">
      <alignment horizontal="center" vertical="center" wrapText="1"/>
      <protection locked="0"/>
    </xf>
    <xf numFmtId="0" fontId="69" fillId="0" borderId="64" xfId="0" applyFont="1" applyFill="1" applyBorder="1" applyAlignment="1" applyProtection="1">
      <alignment horizontal="center" vertical="center"/>
      <protection locked="0"/>
    </xf>
    <xf numFmtId="0" fontId="67" fillId="0" borderId="0" xfId="0" applyFont="1" applyBorder="1" applyAlignment="1" applyProtection="1">
      <alignment horizontal="center" vertical="center"/>
      <protection locked="0"/>
    </xf>
    <xf numFmtId="0" fontId="69" fillId="0" borderId="52" xfId="0" applyFont="1" applyFill="1" applyBorder="1" applyAlignment="1" applyProtection="1">
      <alignment horizontal="center" vertical="center"/>
      <protection locked="0"/>
    </xf>
    <xf numFmtId="0" fontId="69" fillId="0" borderId="54" xfId="0" applyFont="1" applyFill="1" applyBorder="1" applyAlignment="1" applyProtection="1">
      <alignment horizontal="center" vertical="center"/>
      <protection locked="0"/>
    </xf>
    <xf numFmtId="41" fontId="61" fillId="0" borderId="5" xfId="0" applyNumberFormat="1" applyFont="1" applyFill="1" applyBorder="1" applyAlignment="1" applyProtection="1">
      <alignment horizontal="center" vertical="center"/>
      <protection locked="0"/>
    </xf>
    <xf numFmtId="41" fontId="61" fillId="0" borderId="8" xfId="0" applyNumberFormat="1" applyFont="1" applyFill="1" applyBorder="1" applyAlignment="1" applyProtection="1">
      <alignment horizontal="center" vertical="center"/>
      <protection locked="0"/>
    </xf>
    <xf numFmtId="0" fontId="68" fillId="4" borderId="55" xfId="5" applyFont="1" applyFill="1" applyBorder="1" applyAlignment="1" applyProtection="1">
      <alignment horizontal="center" vertical="center" textRotation="255"/>
      <protection locked="0"/>
    </xf>
    <xf numFmtId="0" fontId="68" fillId="4" borderId="60" xfId="5" applyFont="1" applyFill="1" applyBorder="1" applyAlignment="1" applyProtection="1">
      <alignment horizontal="center" vertical="center" textRotation="255"/>
      <protection locked="0"/>
    </xf>
    <xf numFmtId="0" fontId="68" fillId="4" borderId="61" xfId="5" applyFont="1" applyFill="1" applyBorder="1" applyAlignment="1" applyProtection="1">
      <alignment horizontal="center" vertical="center" textRotation="255"/>
      <protection locked="0"/>
    </xf>
    <xf numFmtId="177" fontId="88" fillId="0" borderId="63" xfId="0" applyNumberFormat="1" applyFont="1" applyFill="1" applyBorder="1" applyAlignment="1" applyProtection="1">
      <alignment horizontal="center" vertical="center"/>
      <protection locked="0"/>
    </xf>
    <xf numFmtId="177" fontId="88" fillId="0" borderId="34" xfId="0" applyNumberFormat="1" applyFont="1" applyFill="1" applyBorder="1" applyAlignment="1" applyProtection="1">
      <alignment horizontal="center" vertical="center"/>
      <protection locked="0"/>
    </xf>
    <xf numFmtId="0" fontId="61" fillId="4" borderId="82" xfId="0" applyFont="1" applyFill="1" applyBorder="1" applyAlignment="1" applyProtection="1">
      <alignment horizontal="center" vertical="center" wrapText="1"/>
      <protection locked="0"/>
    </xf>
    <xf numFmtId="0" fontId="61" fillId="4" borderId="64" xfId="0" applyFont="1" applyFill="1" applyBorder="1" applyAlignment="1" applyProtection="1">
      <alignment horizontal="center" vertical="center" wrapText="1"/>
      <protection locked="0"/>
    </xf>
    <xf numFmtId="0" fontId="61" fillId="4" borderId="1" xfId="0" applyFont="1" applyFill="1" applyBorder="1" applyAlignment="1" applyProtection="1">
      <alignment horizontal="center" vertical="center" wrapText="1"/>
      <protection locked="0"/>
    </xf>
    <xf numFmtId="0" fontId="61" fillId="4" borderId="16" xfId="0" applyFont="1" applyFill="1" applyBorder="1" applyAlignment="1" applyProtection="1">
      <alignment horizontal="center" vertical="center" wrapText="1"/>
      <protection locked="0"/>
    </xf>
    <xf numFmtId="177" fontId="70" fillId="0" borderId="1" xfId="0" applyNumberFormat="1" applyFont="1" applyFill="1" applyBorder="1" applyAlignment="1" applyProtection="1">
      <alignment horizontal="center" vertical="center"/>
      <protection locked="0"/>
    </xf>
    <xf numFmtId="177" fontId="70" fillId="0" borderId="16" xfId="0" applyNumberFormat="1" applyFont="1" applyFill="1" applyBorder="1" applyAlignment="1" applyProtection="1">
      <alignment horizontal="center" vertical="center"/>
      <protection locked="0"/>
    </xf>
    <xf numFmtId="177" fontId="70" fillId="0" borderId="23" xfId="0" applyNumberFormat="1" applyFont="1" applyFill="1" applyBorder="1" applyAlignment="1" applyProtection="1">
      <alignment horizontal="center" vertical="center"/>
      <protection locked="0"/>
    </xf>
    <xf numFmtId="177" fontId="70" fillId="0" borderId="26" xfId="0" applyNumberFormat="1" applyFont="1" applyFill="1" applyBorder="1" applyAlignment="1" applyProtection="1">
      <alignment horizontal="center" vertical="center"/>
      <protection locked="0"/>
    </xf>
    <xf numFmtId="0" fontId="61" fillId="0" borderId="29" xfId="0" applyFont="1" applyFill="1" applyBorder="1" applyAlignment="1" applyProtection="1">
      <alignment horizontal="center" vertical="center" wrapText="1"/>
      <protection locked="0"/>
    </xf>
    <xf numFmtId="0" fontId="61" fillId="0" borderId="28" xfId="0" applyFont="1" applyFill="1" applyBorder="1" applyAlignment="1" applyProtection="1">
      <alignment horizontal="center" vertical="center" wrapText="1"/>
      <protection locked="0"/>
    </xf>
    <xf numFmtId="0" fontId="87" fillId="11" borderId="46" xfId="1" applyFont="1" applyFill="1" applyBorder="1" applyAlignment="1" applyProtection="1">
      <alignment horizontal="center" vertical="center" wrapText="1"/>
    </xf>
    <xf numFmtId="0" fontId="87" fillId="11" borderId="35" xfId="1" applyFont="1" applyFill="1" applyBorder="1" applyAlignment="1" applyProtection="1">
      <alignment horizontal="center" vertical="center" wrapText="1"/>
    </xf>
    <xf numFmtId="0" fontId="87" fillId="11" borderId="7" xfId="1" applyFont="1" applyFill="1" applyBorder="1" applyAlignment="1" applyProtection="1">
      <alignment horizontal="center" vertical="center" wrapText="1"/>
    </xf>
    <xf numFmtId="0" fontId="87" fillId="11" borderId="48" xfId="1" applyFont="1" applyFill="1" applyBorder="1" applyAlignment="1" applyProtection="1">
      <alignment horizontal="center" vertical="center" wrapText="1"/>
    </xf>
    <xf numFmtId="0" fontId="87" fillId="11" borderId="28" xfId="1" applyFont="1" applyFill="1" applyBorder="1" applyAlignment="1" applyProtection="1">
      <alignment horizontal="center" vertical="center" wrapText="1"/>
    </xf>
    <xf numFmtId="0" fontId="87" fillId="11" borderId="30" xfId="1" applyFont="1" applyFill="1" applyBorder="1" applyAlignment="1" applyProtection="1">
      <alignment horizontal="center" vertical="center" wrapText="1"/>
    </xf>
    <xf numFmtId="0" fontId="15" fillId="11" borderId="2" xfId="1" applyFont="1" applyFill="1" applyBorder="1" applyAlignment="1" applyProtection="1">
      <alignment horizontal="center" vertical="center" wrapText="1"/>
    </xf>
    <xf numFmtId="0" fontId="15" fillId="11" borderId="27" xfId="1" applyFont="1" applyFill="1" applyBorder="1" applyAlignment="1" applyProtection="1">
      <alignment horizontal="center" vertical="center" wrapText="1"/>
    </xf>
    <xf numFmtId="0" fontId="37" fillId="0" borderId="0" xfId="1" applyFont="1" applyBorder="1" applyAlignment="1" applyProtection="1">
      <alignment horizontal="center" vertical="center"/>
      <protection locked="0"/>
    </xf>
    <xf numFmtId="0" fontId="40" fillId="0" borderId="28" xfId="1" applyFont="1" applyBorder="1" applyAlignment="1" applyProtection="1">
      <alignment horizontal="center" wrapText="1"/>
      <protection locked="0"/>
    </xf>
    <xf numFmtId="0" fontId="15" fillId="11" borderId="1" xfId="1" applyFont="1" applyFill="1" applyBorder="1" applyAlignment="1" applyProtection="1">
      <alignment horizontal="center" vertical="center" wrapText="1"/>
      <protection locked="0"/>
    </xf>
    <xf numFmtId="0" fontId="15" fillId="11" borderId="23" xfId="1" applyFont="1" applyFill="1" applyBorder="1" applyAlignment="1" applyProtection="1">
      <alignment horizontal="center" vertical="center" wrapText="1"/>
      <protection locked="0"/>
    </xf>
    <xf numFmtId="0" fontId="84" fillId="11" borderId="23" xfId="1" applyFont="1" applyFill="1" applyBorder="1" applyAlignment="1" applyProtection="1">
      <alignment horizontal="center" vertical="center" wrapText="1"/>
      <protection locked="0"/>
    </xf>
    <xf numFmtId="0" fontId="84" fillId="11" borderId="42" xfId="1" applyFont="1" applyFill="1" applyBorder="1" applyAlignment="1" applyProtection="1">
      <alignment horizontal="center" vertical="center" wrapText="1"/>
      <protection locked="0"/>
    </xf>
    <xf numFmtId="0" fontId="84" fillId="11" borderId="2" xfId="1" applyFont="1" applyFill="1" applyBorder="1" applyAlignment="1" applyProtection="1">
      <alignment horizontal="center" vertical="center" wrapText="1"/>
      <protection locked="0"/>
    </xf>
    <xf numFmtId="0" fontId="84" fillId="11" borderId="27" xfId="1" applyFont="1" applyFill="1" applyBorder="1" applyAlignment="1" applyProtection="1">
      <alignment horizontal="center" vertical="center" wrapText="1"/>
      <protection locked="0"/>
    </xf>
    <xf numFmtId="0" fontId="77" fillId="0" borderId="37" xfId="4" applyFont="1" applyFill="1" applyBorder="1" applyAlignment="1">
      <alignment horizontal="center" vertical="center" wrapText="1"/>
    </xf>
    <xf numFmtId="0" fontId="79" fillId="0" borderId="43" xfId="4" applyFont="1" applyFill="1" applyBorder="1" applyAlignment="1">
      <alignment horizontal="center" vertical="center" wrapText="1"/>
    </xf>
    <xf numFmtId="0" fontId="79" fillId="0" borderId="44" xfId="4" applyFont="1" applyFill="1" applyBorder="1" applyAlignment="1">
      <alignment horizontal="center" vertical="center" wrapText="1"/>
    </xf>
    <xf numFmtId="0" fontId="38" fillId="0" borderId="0" xfId="4" applyFont="1" applyFill="1" applyBorder="1" applyAlignment="1">
      <alignment horizontal="center" vertical="center"/>
    </xf>
    <xf numFmtId="0" fontId="46" fillId="0" borderId="0" xfId="4" applyFont="1" applyFill="1" applyBorder="1" applyAlignment="1">
      <alignment horizontal="center" vertical="center"/>
    </xf>
    <xf numFmtId="0" fontId="77" fillId="0" borderId="23" xfId="4" applyFont="1" applyFill="1" applyBorder="1" applyAlignment="1">
      <alignment horizontal="center" vertical="center" wrapText="1"/>
    </xf>
    <xf numFmtId="0" fontId="77" fillId="0" borderId="6" xfId="4" applyFont="1" applyFill="1" applyBorder="1" applyAlignment="1">
      <alignment horizontal="center" vertical="center" wrapText="1"/>
    </xf>
    <xf numFmtId="0" fontId="79" fillId="0" borderId="23" xfId="4" applyFont="1" applyFill="1" applyBorder="1" applyAlignment="1">
      <alignment horizontal="center" vertical="center" wrapText="1"/>
    </xf>
    <xf numFmtId="0" fontId="79" fillId="0" borderId="6" xfId="4" applyFont="1" applyFill="1" applyBorder="1" applyAlignment="1">
      <alignment horizontal="center" vertical="center" wrapText="1"/>
    </xf>
    <xf numFmtId="0" fontId="77" fillId="0" borderId="43" xfId="4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" fillId="5" borderId="23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176" fontId="0" fillId="0" borderId="29" xfId="0" applyNumberFormat="1" applyBorder="1" applyAlignment="1" applyProtection="1">
      <alignment horizontal="center" vertical="center"/>
      <protection locked="0"/>
    </xf>
    <xf numFmtId="176" fontId="0" fillId="0" borderId="29" xfId="0" applyNumberFormat="1" applyBorder="1" applyAlignment="1" applyProtection="1">
      <alignment horizontal="center" wrapText="1"/>
      <protection locked="0"/>
    </xf>
    <xf numFmtId="0" fontId="0" fillId="0" borderId="29" xfId="0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76" fontId="0" fillId="0" borderId="23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</cellXfs>
  <cellStyles count="7">
    <cellStyle name="一般" xfId="0" builtinId="0"/>
    <cellStyle name="一般 2" xfId="4"/>
    <cellStyle name="一般 3" xfId="1"/>
    <cellStyle name="一般 4 2" xfId="6"/>
    <cellStyle name="一般 5" xfId="5"/>
    <cellStyle name="千分位 2" xfId="3"/>
    <cellStyle name="百分比 2" xfId="2"/>
  </cellStyles>
  <dxfs count="0"/>
  <tableStyles count="0" defaultTableStyle="TableStyleMedium9" defaultPivotStyle="PivotStyleLight16"/>
  <colors>
    <mruColors>
      <color rgb="FFCC66FF"/>
      <color rgb="FFF5E4E3"/>
      <color rgb="FFFFFFE7"/>
      <color rgb="FFFFFFCC"/>
      <color rgb="FF0000FF"/>
      <color rgb="FF0066CC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7"/>
  <sheetViews>
    <sheetView tabSelected="1" zoomScale="90" zoomScaleNormal="90" workbookViewId="0">
      <selection activeCell="W10" sqref="W10"/>
    </sheetView>
  </sheetViews>
  <sheetFormatPr defaultRowHeight="13.8" x14ac:dyDescent="0.25"/>
  <cols>
    <col min="1" max="1" width="4.875" style="349" customWidth="1"/>
    <col min="2" max="11" width="9.625" style="263" customWidth="1"/>
    <col min="12" max="12" width="3.125" style="263" customWidth="1"/>
    <col min="13" max="13" width="7.5" style="263" customWidth="1"/>
    <col min="14" max="14" width="10.625" style="263" customWidth="1"/>
    <col min="15" max="15" width="5.625" style="263" customWidth="1"/>
    <col min="16" max="16" width="6" style="263" customWidth="1"/>
    <col min="17" max="17" width="11.625" style="263" customWidth="1"/>
    <col min="18" max="18" width="12.75" style="263" customWidth="1"/>
    <col min="19" max="19" width="3.125" style="263" customWidth="1"/>
    <col min="20" max="20" width="11.75" style="263" customWidth="1"/>
    <col min="21" max="21" width="13.25" style="263" customWidth="1"/>
    <col min="22" max="22" width="20" style="263" customWidth="1"/>
    <col min="23" max="23" width="13.875" style="166" customWidth="1"/>
    <col min="24" max="27" width="6.75" style="166" customWidth="1"/>
    <col min="28" max="16384" width="9" style="133"/>
  </cols>
  <sheetData>
    <row r="1" spans="1:28" ht="38.200000000000003" customHeight="1" thickBot="1" x14ac:dyDescent="0.3">
      <c r="A1" s="580" t="s">
        <v>203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256"/>
      <c r="W1" s="341"/>
      <c r="X1" s="342"/>
      <c r="Y1" s="342"/>
      <c r="Z1" s="342"/>
      <c r="AA1" s="342"/>
      <c r="AB1" s="342"/>
    </row>
    <row r="2" spans="1:28" ht="23.2" customHeight="1" thickTop="1" x14ac:dyDescent="0.25">
      <c r="A2" s="530" t="s">
        <v>173</v>
      </c>
      <c r="B2" s="539" t="s">
        <v>174</v>
      </c>
      <c r="C2" s="540"/>
      <c r="D2" s="541"/>
      <c r="E2" s="542"/>
      <c r="F2" s="543"/>
      <c r="G2" s="543"/>
      <c r="H2" s="543"/>
      <c r="I2" s="543"/>
      <c r="J2" s="543"/>
      <c r="K2" s="544"/>
      <c r="L2" s="257"/>
      <c r="M2" s="585" t="s">
        <v>209</v>
      </c>
      <c r="N2" s="518" t="s">
        <v>180</v>
      </c>
      <c r="O2" s="519"/>
      <c r="P2" s="519"/>
      <c r="Q2" s="520"/>
      <c r="R2" s="505" t="s">
        <v>181</v>
      </c>
      <c r="S2" s="506"/>
      <c r="T2" s="506"/>
      <c r="U2" s="507"/>
      <c r="V2" s="258"/>
      <c r="W2" s="341"/>
      <c r="X2" s="343"/>
      <c r="Y2" s="343"/>
      <c r="Z2" s="343"/>
      <c r="AA2" s="342"/>
      <c r="AB2" s="342"/>
    </row>
    <row r="3" spans="1:28" ht="23.2" customHeight="1" x14ac:dyDescent="0.25">
      <c r="A3" s="531"/>
      <c r="B3" s="508" t="s">
        <v>175</v>
      </c>
      <c r="C3" s="509"/>
      <c r="D3" s="510"/>
      <c r="E3" s="508" t="s">
        <v>195</v>
      </c>
      <c r="F3" s="510"/>
      <c r="G3" s="508" t="s">
        <v>196</v>
      </c>
      <c r="H3" s="510"/>
      <c r="I3" s="508" t="s">
        <v>197</v>
      </c>
      <c r="J3" s="510"/>
      <c r="K3" s="344" t="s">
        <v>176</v>
      </c>
      <c r="L3" s="257"/>
      <c r="M3" s="586"/>
      <c r="N3" s="508" t="s">
        <v>204</v>
      </c>
      <c r="O3" s="509"/>
      <c r="P3" s="510"/>
      <c r="Q3" s="362"/>
      <c r="R3" s="345" t="s">
        <v>182</v>
      </c>
      <c r="S3" s="511" t="s">
        <v>183</v>
      </c>
      <c r="T3" s="511"/>
      <c r="U3" s="346" t="s">
        <v>176</v>
      </c>
      <c r="V3" s="258"/>
      <c r="W3" s="342"/>
      <c r="X3" s="347"/>
      <c r="Y3" s="347"/>
      <c r="Z3" s="347"/>
      <c r="AA3" s="342"/>
      <c r="AB3" s="342"/>
    </row>
    <row r="4" spans="1:28" ht="23.2" customHeight="1" x14ac:dyDescent="0.25">
      <c r="A4" s="531"/>
      <c r="B4" s="508" t="s">
        <v>177</v>
      </c>
      <c r="C4" s="509"/>
      <c r="D4" s="510"/>
      <c r="E4" s="551"/>
      <c r="F4" s="552"/>
      <c r="G4" s="551"/>
      <c r="H4" s="552"/>
      <c r="I4" s="551"/>
      <c r="J4" s="552"/>
      <c r="K4" s="363">
        <f>SUM(E4:J4)</f>
        <v>0</v>
      </c>
      <c r="L4" s="257"/>
      <c r="M4" s="586"/>
      <c r="N4" s="511" t="s">
        <v>184</v>
      </c>
      <c r="O4" s="511"/>
      <c r="P4" s="511"/>
      <c r="Q4" s="511"/>
      <c r="R4" s="356">
        <f>花東B表!F34</f>
        <v>0</v>
      </c>
      <c r="S4" s="512">
        <f>花東B表!G34</f>
        <v>0</v>
      </c>
      <c r="T4" s="513"/>
      <c r="U4" s="357">
        <f>R4+S4</f>
        <v>0</v>
      </c>
      <c r="V4" s="255"/>
      <c r="W4" s="341"/>
      <c r="X4" s="343"/>
      <c r="Y4" s="343"/>
      <c r="Z4" s="343"/>
      <c r="AA4" s="343"/>
      <c r="AB4" s="343"/>
    </row>
    <row r="5" spans="1:28" ht="23.2" customHeight="1" x14ac:dyDescent="0.25">
      <c r="A5" s="531"/>
      <c r="B5" s="545" t="s">
        <v>178</v>
      </c>
      <c r="C5" s="546"/>
      <c r="D5" s="547"/>
      <c r="E5" s="553"/>
      <c r="F5" s="554"/>
      <c r="G5" s="553"/>
      <c r="H5" s="554"/>
      <c r="I5" s="553"/>
      <c r="J5" s="554"/>
      <c r="K5" s="363">
        <f>SUM(E5:J5)</f>
        <v>0</v>
      </c>
      <c r="L5" s="257"/>
      <c r="M5" s="586"/>
      <c r="N5" s="345" t="s">
        <v>185</v>
      </c>
      <c r="O5" s="508" t="s">
        <v>186</v>
      </c>
      <c r="P5" s="510"/>
      <c r="Q5" s="345" t="s">
        <v>187</v>
      </c>
      <c r="R5" s="348" t="s">
        <v>188</v>
      </c>
      <c r="S5" s="511" t="s">
        <v>186</v>
      </c>
      <c r="T5" s="511"/>
      <c r="U5" s="346" t="s">
        <v>187</v>
      </c>
      <c r="V5" s="255"/>
      <c r="W5" s="342"/>
      <c r="X5" s="347"/>
      <c r="Y5" s="347"/>
      <c r="Z5" s="347"/>
      <c r="AA5" s="347"/>
      <c r="AB5" s="347"/>
    </row>
    <row r="6" spans="1:28" ht="23.2" customHeight="1" thickBot="1" x14ac:dyDescent="0.3">
      <c r="A6" s="532"/>
      <c r="B6" s="548" t="s">
        <v>179</v>
      </c>
      <c r="C6" s="549"/>
      <c r="D6" s="550"/>
      <c r="E6" s="555">
        <f>E4-E5</f>
        <v>0</v>
      </c>
      <c r="F6" s="556"/>
      <c r="G6" s="555">
        <f>G4-G5</f>
        <v>0</v>
      </c>
      <c r="H6" s="556"/>
      <c r="I6" s="555">
        <f>I4-I5</f>
        <v>0</v>
      </c>
      <c r="J6" s="556"/>
      <c r="K6" s="364">
        <f>SUM(E6:J6)</f>
        <v>0</v>
      </c>
      <c r="L6" s="257"/>
      <c r="M6" s="587"/>
      <c r="N6" s="358"/>
      <c r="O6" s="514"/>
      <c r="P6" s="515"/>
      <c r="Q6" s="359">
        <f>SUM(N6:P6)</f>
        <v>0</v>
      </c>
      <c r="R6" s="360">
        <f>花東B表!D34</f>
        <v>0</v>
      </c>
      <c r="S6" s="516">
        <f>花東B表!E34</f>
        <v>0</v>
      </c>
      <c r="T6" s="517"/>
      <c r="U6" s="361">
        <f>R6+S6</f>
        <v>0</v>
      </c>
      <c r="V6" s="255"/>
      <c r="W6" s="216"/>
      <c r="X6" s="216"/>
      <c r="Y6" s="216"/>
      <c r="Z6" s="216"/>
      <c r="AA6" s="216"/>
    </row>
    <row r="7" spans="1:28" ht="8" customHeight="1" thickBot="1" x14ac:dyDescent="0.3">
      <c r="B7" s="257"/>
      <c r="C7" s="259"/>
      <c r="D7" s="260"/>
      <c r="E7" s="260"/>
      <c r="F7" s="260"/>
      <c r="G7" s="261"/>
      <c r="H7" s="257"/>
      <c r="I7" s="262"/>
      <c r="J7" s="262"/>
      <c r="K7" s="262"/>
      <c r="L7" s="257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16"/>
      <c r="X7" s="216"/>
      <c r="Y7" s="216"/>
      <c r="Z7" s="216"/>
      <c r="AA7" s="216"/>
    </row>
    <row r="8" spans="1:28" ht="20.7" customHeight="1" x14ac:dyDescent="0.25">
      <c r="A8" s="521" t="s">
        <v>189</v>
      </c>
      <c r="B8" s="527" t="s">
        <v>249</v>
      </c>
      <c r="C8" s="529" t="s">
        <v>99</v>
      </c>
      <c r="D8" s="529"/>
      <c r="E8" s="529" t="s">
        <v>100</v>
      </c>
      <c r="F8" s="529"/>
      <c r="G8" s="529" t="s">
        <v>101</v>
      </c>
      <c r="H8" s="529"/>
      <c r="I8" s="529" t="s">
        <v>102</v>
      </c>
      <c r="J8" s="529"/>
      <c r="K8" s="529" t="s">
        <v>103</v>
      </c>
      <c r="L8" s="529"/>
      <c r="M8" s="579"/>
      <c r="N8" s="598" t="s">
        <v>191</v>
      </c>
      <c r="O8" s="576"/>
      <c r="P8" s="575" t="s">
        <v>205</v>
      </c>
      <c r="Q8" s="576"/>
      <c r="R8" s="590" t="s">
        <v>206</v>
      </c>
      <c r="S8" s="591"/>
    </row>
    <row r="9" spans="1:28" ht="17.100000000000001" customHeight="1" x14ac:dyDescent="0.25">
      <c r="A9" s="522"/>
      <c r="B9" s="528"/>
      <c r="C9" s="312" t="s">
        <v>107</v>
      </c>
      <c r="D9" s="312" t="s">
        <v>108</v>
      </c>
      <c r="E9" s="312" t="s">
        <v>107</v>
      </c>
      <c r="F9" s="312" t="s">
        <v>109</v>
      </c>
      <c r="G9" s="312" t="s">
        <v>110</v>
      </c>
      <c r="H9" s="312" t="s">
        <v>111</v>
      </c>
      <c r="I9" s="312" t="s">
        <v>107</v>
      </c>
      <c r="J9" s="312" t="s">
        <v>108</v>
      </c>
      <c r="K9" s="312" t="s">
        <v>112</v>
      </c>
      <c r="L9" s="559" t="s">
        <v>108</v>
      </c>
      <c r="M9" s="560"/>
      <c r="N9" s="599"/>
      <c r="O9" s="578"/>
      <c r="P9" s="577"/>
      <c r="Q9" s="578"/>
      <c r="R9" s="592"/>
      <c r="S9" s="593"/>
    </row>
    <row r="10" spans="1:28" ht="24.9" customHeight="1" x14ac:dyDescent="0.25">
      <c r="A10" s="522"/>
      <c r="B10" s="499" t="s">
        <v>114</v>
      </c>
      <c r="C10" s="473" t="s">
        <v>264</v>
      </c>
      <c r="D10" s="474"/>
      <c r="E10" s="473" t="s">
        <v>264</v>
      </c>
      <c r="F10" s="474"/>
      <c r="G10" s="473" t="s">
        <v>264</v>
      </c>
      <c r="H10" s="474"/>
      <c r="I10" s="473" t="s">
        <v>264</v>
      </c>
      <c r="J10" s="474"/>
      <c r="K10" s="475" t="s">
        <v>264</v>
      </c>
      <c r="L10" s="475"/>
      <c r="M10" s="524"/>
      <c r="N10" s="567">
        <f>SUM(C11:M11)</f>
        <v>0</v>
      </c>
      <c r="O10" s="568"/>
      <c r="P10" s="571">
        <f>N10*E6</f>
        <v>0</v>
      </c>
      <c r="Q10" s="572"/>
      <c r="R10" s="594">
        <f>N10*E5</f>
        <v>0</v>
      </c>
      <c r="S10" s="595"/>
      <c r="V10" s="258"/>
    </row>
    <row r="11" spans="1:28" ht="16.3" customHeight="1" x14ac:dyDescent="0.25">
      <c r="A11" s="522"/>
      <c r="B11" s="500"/>
      <c r="C11" s="350" t="str">
        <f>VLOOKUP(C10,工作表3!$A$5:$AZ$12,2,FALSE)</f>
        <v>金額</v>
      </c>
      <c r="D11" s="350" t="str">
        <f>VLOOKUP(C10,工作表3!$A$5:$AZ$12,3,FALSE)</f>
        <v>金額</v>
      </c>
      <c r="E11" s="350" t="str">
        <f>VLOOKUP(E10,工作表3!$A$5:$AZ$12,4,FALSE)</f>
        <v>金額</v>
      </c>
      <c r="F11" s="350" t="str">
        <f>VLOOKUP(E10,工作表3!$A$5:$AZ$12,5,FALSE)</f>
        <v>金額</v>
      </c>
      <c r="G11" s="350" t="str">
        <f>VLOOKUP(G10,工作表3!$A$5:$AZ$12,6,FALSE)</f>
        <v>金額</v>
      </c>
      <c r="H11" s="350" t="str">
        <f>VLOOKUP(G10,工作表3!$A$5:$AZ$12,7,FALSE)</f>
        <v>金額</v>
      </c>
      <c r="I11" s="350" t="str">
        <f>VLOOKUP(I10,工作表3!$A$5:$AZ$12,8,FALSE)</f>
        <v>金額</v>
      </c>
      <c r="J11" s="350" t="str">
        <f>VLOOKUP(I10,工作表3!$A$5:$AZ$12,9,FALSE)</f>
        <v>金額</v>
      </c>
      <c r="K11" s="350" t="str">
        <f>VLOOKUP(K10,工作表3!$A$5:$AZ$12,13,FALSE)</f>
        <v>金額</v>
      </c>
      <c r="L11" s="535" t="str">
        <f>VLOOKUP(K10,工作表3!$A$5:$AZ$12,14,FALSE)</f>
        <v>金額</v>
      </c>
      <c r="M11" s="584"/>
      <c r="N11" s="569"/>
      <c r="O11" s="570"/>
      <c r="P11" s="573"/>
      <c r="Q11" s="574"/>
      <c r="R11" s="594"/>
      <c r="S11" s="595"/>
      <c r="V11" s="258"/>
    </row>
    <row r="12" spans="1:28" ht="24.9" customHeight="1" x14ac:dyDescent="0.25">
      <c r="A12" s="522"/>
      <c r="B12" s="499" t="s">
        <v>115</v>
      </c>
      <c r="C12" s="473" t="s">
        <v>264</v>
      </c>
      <c r="D12" s="474"/>
      <c r="E12" s="473" t="s">
        <v>264</v>
      </c>
      <c r="F12" s="474"/>
      <c r="G12" s="473" t="s">
        <v>264</v>
      </c>
      <c r="H12" s="474"/>
      <c r="I12" s="473" t="s">
        <v>264</v>
      </c>
      <c r="J12" s="474"/>
      <c r="K12" s="475" t="s">
        <v>264</v>
      </c>
      <c r="L12" s="475"/>
      <c r="M12" s="524"/>
      <c r="N12" s="567">
        <f>SUM(C13:M13)</f>
        <v>0</v>
      </c>
      <c r="O12" s="568"/>
      <c r="P12" s="571">
        <f>N12*G6</f>
        <v>0</v>
      </c>
      <c r="Q12" s="572"/>
      <c r="R12" s="594">
        <f>N12*G5</f>
        <v>0</v>
      </c>
      <c r="S12" s="595"/>
      <c r="T12" s="258"/>
      <c r="U12" s="258"/>
      <c r="V12" s="258"/>
    </row>
    <row r="13" spans="1:28" ht="16.3" x14ac:dyDescent="0.25">
      <c r="A13" s="522"/>
      <c r="B13" s="500"/>
      <c r="C13" s="350" t="str">
        <f>VLOOKUP(C12,工作表3!$A$4:$AZ$12,19,FALSE)</f>
        <v>金額</v>
      </c>
      <c r="D13" s="350" t="str">
        <f>VLOOKUP(C12,工作表3!$A$4:$AZ$12,20,FALSE)</f>
        <v>金額</v>
      </c>
      <c r="E13" s="350" t="str">
        <f>VLOOKUP(E12,工作表3!$A$4:$AZ$12,21,FALSE)</f>
        <v>金額</v>
      </c>
      <c r="F13" s="350" t="str">
        <f>VLOOKUP(E12,工作表3!$A$4:$AZ$12,22,FALSE)</f>
        <v>金額</v>
      </c>
      <c r="G13" s="350" t="str">
        <f>VLOOKUP(G12,工作表3!$A$4:$AZ$12,23,FALSE)</f>
        <v>金額</v>
      </c>
      <c r="H13" s="350" t="str">
        <f>VLOOKUP(G12,工作表3!$A$4:$AZ$12,24,FALSE)</f>
        <v>金額</v>
      </c>
      <c r="I13" s="350" t="str">
        <f>VLOOKUP(I12,工作表3!$A$4:$AZ$12,25,FALSE)</f>
        <v>金額</v>
      </c>
      <c r="J13" s="350" t="str">
        <f>VLOOKUP(I12,工作表3!$A$4:$AZ$12,26,FALSE)</f>
        <v>金額</v>
      </c>
      <c r="K13" s="350" t="str">
        <f>VLOOKUP(K12,工作表3!$A$4:$AZ$12,30,FALSE)</f>
        <v>金額</v>
      </c>
      <c r="L13" s="535" t="str">
        <f>VLOOKUP(K12,工作表3!$A$4:$AZ$12,31,FALSE)</f>
        <v>金額</v>
      </c>
      <c r="M13" s="584"/>
      <c r="N13" s="569"/>
      <c r="O13" s="570"/>
      <c r="P13" s="573"/>
      <c r="Q13" s="574"/>
      <c r="R13" s="594"/>
      <c r="S13" s="595"/>
      <c r="T13" s="258"/>
      <c r="U13" s="258"/>
      <c r="V13" s="258"/>
    </row>
    <row r="14" spans="1:28" ht="24.9" customHeight="1" x14ac:dyDescent="0.25">
      <c r="A14" s="522"/>
      <c r="B14" s="501" t="s">
        <v>116</v>
      </c>
      <c r="C14" s="475" t="s">
        <v>264</v>
      </c>
      <c r="D14" s="475"/>
      <c r="E14" s="475" t="s">
        <v>264</v>
      </c>
      <c r="F14" s="475"/>
      <c r="G14" s="475" t="s">
        <v>264</v>
      </c>
      <c r="H14" s="475"/>
      <c r="I14" s="475" t="s">
        <v>264</v>
      </c>
      <c r="J14" s="475"/>
      <c r="K14" s="475" t="s">
        <v>264</v>
      </c>
      <c r="L14" s="475"/>
      <c r="M14" s="524"/>
      <c r="N14" s="567">
        <f>SUM(C15:M15)</f>
        <v>0</v>
      </c>
      <c r="O14" s="568"/>
      <c r="P14" s="571">
        <f>N14*I6</f>
        <v>0</v>
      </c>
      <c r="Q14" s="572"/>
      <c r="R14" s="594">
        <f>N14*I5</f>
        <v>0</v>
      </c>
      <c r="S14" s="595"/>
    </row>
    <row r="15" spans="1:28" ht="16.899999999999999" thickBot="1" x14ac:dyDescent="0.3">
      <c r="A15" s="523"/>
      <c r="B15" s="502"/>
      <c r="C15" s="351" t="str">
        <f>VLOOKUP(C14,工作表3!$A$4:$AZ$12,36,FALSE)</f>
        <v>金額</v>
      </c>
      <c r="D15" s="351" t="str">
        <f>VLOOKUP(C14,工作表3!$A$4:$AZ$12,37,FALSE)</f>
        <v>金額</v>
      </c>
      <c r="E15" s="351" t="str">
        <f>VLOOKUP(E14,工作表3!$A$4:$AZ$12,38,FALSE)</f>
        <v>金額</v>
      </c>
      <c r="F15" s="351" t="str">
        <f>VLOOKUP(E14,工作表3!$A$4:$AZ$12,39,FALSE)</f>
        <v>金額</v>
      </c>
      <c r="G15" s="351" t="str">
        <f>VLOOKUP(G14,工作表3!$A$4:$AZ$12,40,FALSE)</f>
        <v>金額</v>
      </c>
      <c r="H15" s="351" t="str">
        <f>VLOOKUP(G14,工作表3!$A$4:$AZ$12,41,FALSE)</f>
        <v>金額</v>
      </c>
      <c r="I15" s="351" t="str">
        <f>VLOOKUP(I14,工作表3!$A$4:$AZ$12,42,FALSE)</f>
        <v>金額</v>
      </c>
      <c r="J15" s="351" t="str">
        <f>VLOOKUP(I14,工作表3!$A$4:$AZ$12,43,FALSE)</f>
        <v>金額</v>
      </c>
      <c r="K15" s="351" t="str">
        <f>VLOOKUP(K14,工作表3!$A$4:$AZ$12,47,FALSE)</f>
        <v>金額</v>
      </c>
      <c r="L15" s="525" t="str">
        <f>VLOOKUP(K14,工作表3!$A$4:$AZ$12,48,FALSE)</f>
        <v>金額</v>
      </c>
      <c r="M15" s="526"/>
      <c r="N15" s="569"/>
      <c r="O15" s="570"/>
      <c r="P15" s="588"/>
      <c r="Q15" s="589"/>
      <c r="R15" s="596"/>
      <c r="S15" s="597"/>
    </row>
    <row r="16" spans="1:28" ht="40.1" customHeight="1" thickBot="1" x14ac:dyDescent="0.3">
      <c r="A16" s="352"/>
      <c r="B16" s="264"/>
      <c r="C16" s="353"/>
      <c r="D16" s="353"/>
      <c r="E16" s="353"/>
      <c r="F16" s="353"/>
      <c r="G16" s="353"/>
      <c r="H16" s="353"/>
      <c r="I16" s="353"/>
      <c r="J16" s="353"/>
      <c r="K16" s="354"/>
      <c r="L16" s="354"/>
      <c r="M16" s="354"/>
      <c r="N16" s="561" t="s">
        <v>202</v>
      </c>
      <c r="O16" s="562"/>
      <c r="P16" s="563">
        <f>SUM(P10:Q15)</f>
        <v>0</v>
      </c>
      <c r="Q16" s="564"/>
      <c r="R16" s="565">
        <f>SUM(R10:S15)</f>
        <v>0</v>
      </c>
      <c r="S16" s="566"/>
    </row>
    <row r="17" spans="1:27" ht="8" customHeight="1" thickBot="1" x14ac:dyDescent="0.3"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6"/>
      <c r="T17" s="266"/>
      <c r="U17" s="266"/>
      <c r="V17" s="266"/>
      <c r="W17" s="217"/>
      <c r="X17" s="217"/>
      <c r="Y17" s="217"/>
      <c r="Z17" s="217"/>
      <c r="AA17" s="217"/>
    </row>
    <row r="18" spans="1:27" ht="18.8" customHeight="1" thickBot="1" x14ac:dyDescent="0.3">
      <c r="A18" s="530" t="s">
        <v>190</v>
      </c>
      <c r="B18" s="503" t="s">
        <v>250</v>
      </c>
      <c r="C18" s="529" t="s">
        <v>104</v>
      </c>
      <c r="D18" s="529"/>
      <c r="E18" s="529" t="s">
        <v>105</v>
      </c>
      <c r="F18" s="529"/>
      <c r="G18" s="537" t="s">
        <v>106</v>
      </c>
      <c r="H18" s="538"/>
      <c r="I18" s="529" t="s">
        <v>198</v>
      </c>
      <c r="J18" s="529"/>
      <c r="K18" s="529"/>
      <c r="L18" s="529"/>
      <c r="M18" s="529"/>
      <c r="N18" s="537" t="s">
        <v>201</v>
      </c>
      <c r="O18" s="581"/>
      <c r="P18" s="581"/>
      <c r="Q18" s="581"/>
      <c r="R18" s="582"/>
      <c r="S18" s="267"/>
      <c r="T18" s="481" t="s">
        <v>207</v>
      </c>
      <c r="U18" s="482"/>
      <c r="V18" s="494"/>
      <c r="W18" s="165"/>
      <c r="X18" s="165"/>
      <c r="Y18" s="165"/>
      <c r="Z18" s="165"/>
      <c r="AA18" s="165"/>
    </row>
    <row r="19" spans="1:27" ht="18.2" customHeight="1" thickTop="1" thickBot="1" x14ac:dyDescent="0.3">
      <c r="A19" s="531"/>
      <c r="B19" s="504"/>
      <c r="C19" s="312" t="s">
        <v>107</v>
      </c>
      <c r="D19" s="312" t="s">
        <v>193</v>
      </c>
      <c r="E19" s="312" t="s">
        <v>113</v>
      </c>
      <c r="F19" s="312" t="s">
        <v>192</v>
      </c>
      <c r="G19" s="312" t="s">
        <v>112</v>
      </c>
      <c r="H19" s="312" t="s">
        <v>192</v>
      </c>
      <c r="I19" s="312" t="s">
        <v>199</v>
      </c>
      <c r="J19" s="312" t="s">
        <v>192</v>
      </c>
      <c r="K19" s="312" t="s">
        <v>200</v>
      </c>
      <c r="L19" s="496" t="s">
        <v>192</v>
      </c>
      <c r="M19" s="496"/>
      <c r="N19" s="312" t="s">
        <v>199</v>
      </c>
      <c r="O19" s="496" t="s">
        <v>192</v>
      </c>
      <c r="P19" s="496"/>
      <c r="Q19" s="312" t="s">
        <v>200</v>
      </c>
      <c r="R19" s="268" t="s">
        <v>192</v>
      </c>
      <c r="S19" s="267"/>
      <c r="T19" s="483"/>
      <c r="U19" s="484"/>
      <c r="V19" s="495"/>
      <c r="W19" s="165"/>
      <c r="X19" s="165"/>
      <c r="Y19" s="165"/>
      <c r="Z19" s="165"/>
      <c r="AA19" s="165"/>
    </row>
    <row r="20" spans="1:27" ht="25.05" customHeight="1" thickTop="1" thickBot="1" x14ac:dyDescent="0.3">
      <c r="A20" s="531"/>
      <c r="B20" s="501" t="s">
        <v>114</v>
      </c>
      <c r="C20" s="314" t="s">
        <v>264</v>
      </c>
      <c r="D20" s="476"/>
      <c r="E20" s="314" t="s">
        <v>264</v>
      </c>
      <c r="F20" s="476"/>
      <c r="G20" s="314" t="s">
        <v>264</v>
      </c>
      <c r="H20" s="476"/>
      <c r="I20" s="314" t="s">
        <v>264</v>
      </c>
      <c r="J20" s="476"/>
      <c r="K20" s="288" t="str">
        <f>I20</f>
        <v>版本</v>
      </c>
      <c r="L20" s="476"/>
      <c r="M20" s="476"/>
      <c r="N20" s="314" t="s">
        <v>264</v>
      </c>
      <c r="O20" s="476"/>
      <c r="P20" s="476"/>
      <c r="Q20" s="313" t="str">
        <f>N20</f>
        <v>版本</v>
      </c>
      <c r="R20" s="497"/>
      <c r="S20" s="254"/>
      <c r="T20" s="483"/>
      <c r="U20" s="484"/>
      <c r="V20" s="495"/>
      <c r="W20" s="165"/>
      <c r="X20" s="165"/>
      <c r="Y20" s="165"/>
      <c r="Z20" s="165"/>
      <c r="AA20" s="165"/>
    </row>
    <row r="21" spans="1:27" ht="25.05" customHeight="1" thickTop="1" x14ac:dyDescent="0.25">
      <c r="A21" s="531"/>
      <c r="B21" s="501"/>
      <c r="C21" s="350" t="str">
        <f>VLOOKUP(C20,工作表3!$A$4:$AZ$12,10,FALSE)</f>
        <v>金額</v>
      </c>
      <c r="D21" s="476"/>
      <c r="E21" s="350" t="str">
        <f>VLOOKUP(E20,工作表3!$A$4:$AZ$12,11,FALSE)</f>
        <v>金額</v>
      </c>
      <c r="F21" s="476"/>
      <c r="G21" s="350" t="str">
        <f>VLOOKUP(G20,工作表3!$A$4:$AZ$12,12,FALSE)</f>
        <v>金額</v>
      </c>
      <c r="H21" s="476"/>
      <c r="I21" s="350" t="str">
        <f>VLOOKUP(I20,工作表3!$A$4:$AZ$12,15,FALSE)</f>
        <v>金額</v>
      </c>
      <c r="J21" s="476"/>
      <c r="K21" s="350" t="str">
        <f>VLOOKUP(K20,工作表3!$A$4:$AZ$12,16,FALSE)</f>
        <v>金額</v>
      </c>
      <c r="L21" s="476"/>
      <c r="M21" s="476"/>
      <c r="N21" s="350" t="str">
        <f>VLOOKUP(N20,工作表3!$A$4:$AZ$12,17,FALSE)</f>
        <v>金額</v>
      </c>
      <c r="O21" s="476"/>
      <c r="P21" s="476"/>
      <c r="Q21" s="350" t="str">
        <f>VLOOKUP(Q20,工作表3!$A$4:$AZ$12,18,FALSE)</f>
        <v>金額</v>
      </c>
      <c r="R21" s="498"/>
      <c r="S21" s="251"/>
      <c r="T21" s="477" t="s">
        <v>260</v>
      </c>
      <c r="U21" s="478"/>
      <c r="V21" s="491">
        <f>P16+V18</f>
        <v>0</v>
      </c>
      <c r="W21" s="165"/>
      <c r="X21" s="165"/>
      <c r="Y21" s="165"/>
      <c r="Z21" s="165"/>
      <c r="AA21" s="165"/>
    </row>
    <row r="22" spans="1:27" s="246" customFormat="1" ht="16.3" customHeight="1" thickBot="1" x14ac:dyDescent="0.3">
      <c r="A22" s="531"/>
      <c r="B22" s="312" t="s">
        <v>194</v>
      </c>
      <c r="C22" s="535" t="e">
        <f>C21*D20</f>
        <v>#VALUE!</v>
      </c>
      <c r="D22" s="536"/>
      <c r="E22" s="535" t="e">
        <f t="shared" ref="E22" si="0">E21*F20</f>
        <v>#VALUE!</v>
      </c>
      <c r="F22" s="536"/>
      <c r="G22" s="535" t="e">
        <f t="shared" ref="G22" si="1">G21*H20</f>
        <v>#VALUE!</v>
      </c>
      <c r="H22" s="536"/>
      <c r="I22" s="558" t="e">
        <f t="shared" ref="I22" si="2">I21*J20</f>
        <v>#VALUE!</v>
      </c>
      <c r="J22" s="558"/>
      <c r="K22" s="535" t="e">
        <f t="shared" ref="K22" si="3">K21*L20</f>
        <v>#VALUE!</v>
      </c>
      <c r="L22" s="583"/>
      <c r="M22" s="536"/>
      <c r="N22" s="535" t="e">
        <f t="shared" ref="N22" si="4">N21*O20</f>
        <v>#VALUE!</v>
      </c>
      <c r="O22" s="583"/>
      <c r="P22" s="536"/>
      <c r="Q22" s="535" t="e">
        <f t="shared" ref="Q22" si="5">Q21*R20</f>
        <v>#VALUE!</v>
      </c>
      <c r="R22" s="584"/>
      <c r="S22" s="251"/>
      <c r="T22" s="479"/>
      <c r="U22" s="480"/>
      <c r="V22" s="492"/>
      <c r="W22" s="218"/>
      <c r="X22" s="218"/>
      <c r="Y22" s="218"/>
      <c r="Z22" s="218"/>
      <c r="AA22" s="218"/>
    </row>
    <row r="23" spans="1:27" ht="25.05" customHeight="1" thickTop="1" x14ac:dyDescent="0.25">
      <c r="A23" s="531"/>
      <c r="B23" s="501" t="s">
        <v>115</v>
      </c>
      <c r="C23" s="314" t="s">
        <v>264</v>
      </c>
      <c r="D23" s="476"/>
      <c r="E23" s="314" t="s">
        <v>264</v>
      </c>
      <c r="F23" s="476"/>
      <c r="G23" s="314" t="s">
        <v>264</v>
      </c>
      <c r="H23" s="476"/>
      <c r="I23" s="314" t="s">
        <v>264</v>
      </c>
      <c r="J23" s="476"/>
      <c r="K23" s="313" t="str">
        <f>I23</f>
        <v>版本</v>
      </c>
      <c r="L23" s="476"/>
      <c r="M23" s="476"/>
      <c r="N23" s="314" t="s">
        <v>264</v>
      </c>
      <c r="O23" s="476"/>
      <c r="P23" s="476"/>
      <c r="Q23" s="313" t="str">
        <f>N23</f>
        <v>版本</v>
      </c>
      <c r="R23" s="497"/>
      <c r="S23" s="252"/>
      <c r="T23" s="477" t="s">
        <v>261</v>
      </c>
      <c r="U23" s="478"/>
      <c r="V23" s="491" t="e">
        <f>SUM(C22:R22,C25:R25,C28:R28)</f>
        <v>#VALUE!</v>
      </c>
      <c r="W23" s="165"/>
      <c r="X23" s="165"/>
      <c r="Y23" s="165"/>
      <c r="Z23" s="165"/>
      <c r="AA23" s="165"/>
    </row>
    <row r="24" spans="1:27" ht="25.05" customHeight="1" thickBot="1" x14ac:dyDescent="0.3">
      <c r="A24" s="531"/>
      <c r="B24" s="501"/>
      <c r="C24" s="350" t="str">
        <f>VLOOKUP(C23,工作表3!$A$4:$AZ$12,27,FALSE)</f>
        <v>金額</v>
      </c>
      <c r="D24" s="476"/>
      <c r="E24" s="350" t="str">
        <f>VLOOKUP(E23,工作表3!$A$4:$AZ$12,28,FALSE)</f>
        <v>金額</v>
      </c>
      <c r="F24" s="476"/>
      <c r="G24" s="350" t="str">
        <f>VLOOKUP(G23,工作表3!$A$4:$AZ$12,29,FALSE)</f>
        <v>金額</v>
      </c>
      <c r="H24" s="476"/>
      <c r="I24" s="350" t="str">
        <f>VLOOKUP(I23,工作表3!$A$4:$AZ$12,32,FALSE)</f>
        <v>金額</v>
      </c>
      <c r="J24" s="476"/>
      <c r="K24" s="350" t="str">
        <f>VLOOKUP(K23,工作表3!$A$4:$AZ$12,33,FALSE)</f>
        <v>金額</v>
      </c>
      <c r="L24" s="476"/>
      <c r="M24" s="476"/>
      <c r="N24" s="350" t="str">
        <f>VLOOKUP(N23,工作表3!$A$4:$AZ$12,34,FALSE)</f>
        <v>金額</v>
      </c>
      <c r="O24" s="476"/>
      <c r="P24" s="476"/>
      <c r="Q24" s="350" t="str">
        <f>VLOOKUP(Q23,工作表3!$A$4:$AZ$12,35,FALSE)</f>
        <v>金額</v>
      </c>
      <c r="R24" s="498"/>
      <c r="S24" s="251"/>
      <c r="T24" s="479"/>
      <c r="U24" s="480"/>
      <c r="V24" s="492"/>
      <c r="W24" s="165"/>
      <c r="X24" s="165"/>
      <c r="Y24" s="165"/>
      <c r="Z24" s="165"/>
      <c r="AA24" s="165"/>
    </row>
    <row r="25" spans="1:27" s="246" customFormat="1" ht="16.3" customHeight="1" thickTop="1" thickBot="1" x14ac:dyDescent="0.3">
      <c r="A25" s="531"/>
      <c r="B25" s="312" t="s">
        <v>194</v>
      </c>
      <c r="C25" s="535" t="e">
        <f t="shared" ref="C25" si="6">C24*D23</f>
        <v>#VALUE!</v>
      </c>
      <c r="D25" s="536"/>
      <c r="E25" s="535" t="e">
        <f t="shared" ref="E25" si="7">E24*F23</f>
        <v>#VALUE!</v>
      </c>
      <c r="F25" s="536"/>
      <c r="G25" s="535" t="e">
        <f t="shared" ref="G25" si="8">G24*H23</f>
        <v>#VALUE!</v>
      </c>
      <c r="H25" s="536"/>
      <c r="I25" s="558" t="e">
        <f t="shared" ref="I25" si="9">I24*J23</f>
        <v>#VALUE!</v>
      </c>
      <c r="J25" s="558"/>
      <c r="K25" s="525" t="e">
        <f t="shared" ref="K25" si="10">K24*L23</f>
        <v>#VALUE!</v>
      </c>
      <c r="L25" s="557"/>
      <c r="M25" s="533"/>
      <c r="N25" s="535" t="e">
        <f t="shared" ref="N25" si="11">N24*O23</f>
        <v>#VALUE!</v>
      </c>
      <c r="O25" s="583"/>
      <c r="P25" s="536"/>
      <c r="Q25" s="535" t="e">
        <f t="shared" ref="Q25" si="12">Q24*R23</f>
        <v>#VALUE!</v>
      </c>
      <c r="R25" s="584"/>
      <c r="S25" s="251"/>
      <c r="T25" s="485" t="s">
        <v>208</v>
      </c>
      <c r="U25" s="486"/>
      <c r="V25" s="407" t="e">
        <f>V21+V23</f>
        <v>#VALUE!</v>
      </c>
      <c r="W25" s="218"/>
      <c r="X25" s="218"/>
      <c r="Y25" s="218"/>
      <c r="Z25" s="218"/>
      <c r="AA25" s="218"/>
    </row>
    <row r="26" spans="1:27" ht="25.05" customHeight="1" x14ac:dyDescent="0.25">
      <c r="A26" s="531"/>
      <c r="B26" s="501" t="s">
        <v>116</v>
      </c>
      <c r="C26" s="314" t="s">
        <v>264</v>
      </c>
      <c r="D26" s="476"/>
      <c r="E26" s="314" t="s">
        <v>264</v>
      </c>
      <c r="F26" s="476"/>
      <c r="G26" s="314" t="s">
        <v>264</v>
      </c>
      <c r="H26" s="476"/>
      <c r="I26" s="314" t="s">
        <v>264</v>
      </c>
      <c r="J26" s="476"/>
      <c r="K26" s="313" t="str">
        <f>I26</f>
        <v>版本</v>
      </c>
      <c r="L26" s="476"/>
      <c r="M26" s="476"/>
      <c r="N26" s="314" t="s">
        <v>264</v>
      </c>
      <c r="O26" s="476"/>
      <c r="P26" s="476"/>
      <c r="Q26" s="313" t="str">
        <f>N26</f>
        <v>版本</v>
      </c>
      <c r="R26" s="497"/>
      <c r="S26" s="252"/>
      <c r="T26" s="487"/>
      <c r="U26" s="488"/>
      <c r="V26" s="493"/>
      <c r="W26" s="165"/>
      <c r="X26" s="165"/>
      <c r="Y26" s="165"/>
      <c r="Z26" s="165"/>
      <c r="AA26" s="165"/>
    </row>
    <row r="27" spans="1:27" ht="25.05" customHeight="1" thickBot="1" x14ac:dyDescent="0.3">
      <c r="A27" s="531"/>
      <c r="B27" s="501"/>
      <c r="C27" s="350" t="str">
        <f>VLOOKUP(C26,工作表3!$A$4:$AZ$12,44,FALSE)</f>
        <v>金額</v>
      </c>
      <c r="D27" s="476"/>
      <c r="E27" s="350" t="str">
        <f>VLOOKUP(E26,工作表3!$A$4:$AZ$12,45,FALSE)</f>
        <v>金額</v>
      </c>
      <c r="F27" s="476"/>
      <c r="G27" s="350" t="str">
        <f>VLOOKUP(G26,工作表3!$A$4:$AZ$12,46,FALSE)</f>
        <v>金額</v>
      </c>
      <c r="H27" s="476"/>
      <c r="I27" s="350" t="str">
        <f>VLOOKUP(I26,工作表3!$A$4:$AZ$12,49,FALSE)</f>
        <v>金額</v>
      </c>
      <c r="J27" s="476"/>
      <c r="K27" s="350" t="str">
        <f>VLOOKUP(K26,工作表3!$A$4:$AZ$12,50,FALSE)</f>
        <v>金額</v>
      </c>
      <c r="L27" s="476"/>
      <c r="M27" s="476"/>
      <c r="N27" s="350" t="str">
        <f>VLOOKUP(N26,工作表3!$A$4:$AZ$12,51,FALSE)</f>
        <v>金額</v>
      </c>
      <c r="O27" s="476"/>
      <c r="P27" s="476"/>
      <c r="Q27" s="350" t="str">
        <f>VLOOKUP(Q26,工作表3!$A$4:$AZ$12,52,FALSE)</f>
        <v>金額</v>
      </c>
      <c r="R27" s="498"/>
      <c r="S27" s="251"/>
      <c r="T27" s="489"/>
      <c r="U27" s="490"/>
      <c r="V27" s="408"/>
      <c r="W27" s="165"/>
      <c r="X27" s="165"/>
      <c r="Y27" s="165"/>
      <c r="Z27" s="165"/>
      <c r="AA27" s="165"/>
    </row>
    <row r="28" spans="1:27" s="246" customFormat="1" ht="16.3" customHeight="1" thickTop="1" thickBot="1" x14ac:dyDescent="0.3">
      <c r="A28" s="532"/>
      <c r="B28" s="269" t="s">
        <v>194</v>
      </c>
      <c r="C28" s="525" t="e">
        <f t="shared" ref="C28" si="13">C27*D26</f>
        <v>#VALUE!</v>
      </c>
      <c r="D28" s="533"/>
      <c r="E28" s="525" t="e">
        <f t="shared" ref="E28" si="14">E27*F26</f>
        <v>#VALUE!</v>
      </c>
      <c r="F28" s="533"/>
      <c r="G28" s="525" t="e">
        <f t="shared" ref="G28" si="15">G27*H26</f>
        <v>#VALUE!</v>
      </c>
      <c r="H28" s="533"/>
      <c r="I28" s="534" t="e">
        <f t="shared" ref="I28" si="16">I27*J26</f>
        <v>#VALUE!</v>
      </c>
      <c r="J28" s="534"/>
      <c r="K28" s="525" t="e">
        <f t="shared" ref="K28" si="17">K27*L26</f>
        <v>#VALUE!</v>
      </c>
      <c r="L28" s="557"/>
      <c r="M28" s="533"/>
      <c r="N28" s="525" t="e">
        <f t="shared" ref="N28" si="18">N27*O26</f>
        <v>#VALUE!</v>
      </c>
      <c r="O28" s="557"/>
      <c r="P28" s="533"/>
      <c r="Q28" s="525" t="e">
        <f t="shared" ref="Q28" si="19">Q27*R26</f>
        <v>#VALUE!</v>
      </c>
      <c r="R28" s="526"/>
      <c r="S28" s="251"/>
      <c r="T28" s="355"/>
      <c r="U28" s="355"/>
      <c r="V28" s="355"/>
      <c r="W28" s="218"/>
      <c r="X28" s="218"/>
      <c r="Y28" s="218"/>
      <c r="Z28" s="218"/>
      <c r="AA28" s="218"/>
    </row>
    <row r="29" spans="1:27" ht="8" customHeight="1" x14ac:dyDescent="0.25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165"/>
      <c r="X29" s="165"/>
      <c r="Y29" s="165"/>
      <c r="Z29" s="165"/>
      <c r="AA29" s="165"/>
    </row>
    <row r="30" spans="1:27" ht="16.3" x14ac:dyDescent="0.25">
      <c r="A30" s="265" t="s">
        <v>167</v>
      </c>
      <c r="C30" s="265"/>
      <c r="D30" s="265"/>
      <c r="E30" s="265"/>
      <c r="F30" s="265"/>
      <c r="G30" s="265"/>
      <c r="H30" s="265"/>
      <c r="I30" s="265"/>
      <c r="J30" s="265" t="s">
        <v>262</v>
      </c>
      <c r="K30" s="265"/>
      <c r="L30" s="265"/>
      <c r="N30" s="265"/>
      <c r="O30" s="265"/>
      <c r="P30" s="265"/>
      <c r="Q30" s="265"/>
      <c r="R30" s="265"/>
      <c r="S30" s="265"/>
      <c r="T30" s="265"/>
      <c r="U30" s="265"/>
      <c r="V30" s="265"/>
      <c r="W30" s="165"/>
      <c r="X30" s="165"/>
      <c r="Y30" s="165"/>
      <c r="Z30" s="165"/>
      <c r="AA30" s="165"/>
    </row>
    <row r="31" spans="1:27" ht="16.3" x14ac:dyDescent="0.25">
      <c r="A31" s="265" t="s">
        <v>265</v>
      </c>
      <c r="C31" s="265"/>
      <c r="D31" s="265"/>
      <c r="E31" s="265"/>
      <c r="F31" s="265"/>
      <c r="G31" s="265"/>
      <c r="H31" s="265"/>
      <c r="I31" s="265"/>
      <c r="J31" s="265" t="s">
        <v>117</v>
      </c>
      <c r="K31" s="265"/>
      <c r="L31" s="265"/>
      <c r="N31" s="265"/>
      <c r="O31" s="265"/>
      <c r="P31" s="265"/>
      <c r="Q31" s="265"/>
      <c r="R31" s="265"/>
      <c r="S31" s="265"/>
      <c r="T31" s="265"/>
      <c r="U31" s="265"/>
      <c r="V31" s="265"/>
      <c r="W31" s="165"/>
      <c r="X31" s="165"/>
      <c r="Y31" s="165"/>
      <c r="Z31" s="165"/>
      <c r="AA31" s="165"/>
    </row>
    <row r="32" spans="1:27" ht="16.3" x14ac:dyDescent="0.25">
      <c r="C32" s="265"/>
      <c r="D32" s="265"/>
      <c r="E32" s="265"/>
      <c r="F32" s="265"/>
      <c r="G32" s="265"/>
      <c r="H32" s="265"/>
      <c r="I32" s="265"/>
      <c r="J32" s="265" t="s">
        <v>266</v>
      </c>
      <c r="K32" s="265"/>
      <c r="L32" s="265"/>
      <c r="N32" s="265"/>
      <c r="O32" s="265"/>
      <c r="P32" s="265"/>
      <c r="Q32" s="265"/>
      <c r="R32" s="265"/>
      <c r="S32" s="265"/>
      <c r="T32" s="265"/>
      <c r="U32" s="265"/>
      <c r="V32" s="265"/>
      <c r="W32" s="165"/>
      <c r="X32" s="165"/>
      <c r="Y32" s="165"/>
      <c r="Z32" s="165"/>
      <c r="AA32" s="165"/>
    </row>
    <row r="33" spans="1:27" ht="22.55" customHeight="1" x14ac:dyDescent="0.3">
      <c r="A33" s="270" t="s">
        <v>118</v>
      </c>
      <c r="B33" s="270"/>
      <c r="C33" s="270"/>
      <c r="D33" s="270"/>
      <c r="E33" s="270"/>
      <c r="F33" s="270" t="s">
        <v>119</v>
      </c>
      <c r="G33" s="270"/>
      <c r="H33" s="253"/>
      <c r="I33" s="270"/>
      <c r="J33" s="270"/>
      <c r="K33" s="253"/>
      <c r="L33" s="253"/>
      <c r="M33" s="270" t="s">
        <v>120</v>
      </c>
      <c r="N33" s="270"/>
      <c r="O33" s="253"/>
      <c r="P33" s="270"/>
      <c r="Q33" s="270"/>
      <c r="R33" s="253"/>
      <c r="S33" s="270" t="s">
        <v>121</v>
      </c>
      <c r="T33" s="253"/>
      <c r="V33" s="265"/>
      <c r="W33" s="165"/>
    </row>
    <row r="34" spans="1:27" ht="16.3" x14ac:dyDescent="0.25"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165"/>
      <c r="X34" s="165"/>
      <c r="Y34" s="165"/>
      <c r="Z34" s="165"/>
      <c r="AA34" s="165"/>
    </row>
    <row r="35" spans="1:27" ht="77.650000000000006" customHeight="1" x14ac:dyDescent="0.25"/>
    <row r="36" spans="1:27" ht="35.1" customHeight="1" thickBot="1" x14ac:dyDescent="0.3">
      <c r="A36" s="385" t="s">
        <v>271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65"/>
    </row>
    <row r="37" spans="1:27" ht="16.3" x14ac:dyDescent="0.25">
      <c r="A37" s="461" t="s">
        <v>189</v>
      </c>
      <c r="B37" s="464" t="s">
        <v>249</v>
      </c>
      <c r="C37" s="429" t="s">
        <v>99</v>
      </c>
      <c r="D37" s="429"/>
      <c r="E37" s="429" t="s">
        <v>100</v>
      </c>
      <c r="F37" s="429"/>
      <c r="G37" s="429" t="s">
        <v>101</v>
      </c>
      <c r="H37" s="429"/>
      <c r="I37" s="429" t="s">
        <v>102</v>
      </c>
      <c r="J37" s="429"/>
      <c r="K37" s="429" t="s">
        <v>103</v>
      </c>
      <c r="L37" s="429"/>
      <c r="M37" s="466"/>
      <c r="N37" s="467" t="s">
        <v>268</v>
      </c>
      <c r="O37" s="468"/>
      <c r="P37" s="471" t="s">
        <v>269</v>
      </c>
      <c r="Q37" s="468"/>
      <c r="R37" s="449" t="s">
        <v>270</v>
      </c>
      <c r="S37" s="450"/>
      <c r="T37" s="365"/>
      <c r="U37" s="365"/>
      <c r="V37" s="365"/>
    </row>
    <row r="38" spans="1:27" ht="16.3" x14ac:dyDescent="0.25">
      <c r="A38" s="462"/>
      <c r="B38" s="465"/>
      <c r="C38" s="366" t="s">
        <v>107</v>
      </c>
      <c r="D38" s="366" t="s">
        <v>108</v>
      </c>
      <c r="E38" s="366" t="s">
        <v>107</v>
      </c>
      <c r="F38" s="366" t="s">
        <v>108</v>
      </c>
      <c r="G38" s="366" t="s">
        <v>107</v>
      </c>
      <c r="H38" s="366" t="s">
        <v>108</v>
      </c>
      <c r="I38" s="366" t="s">
        <v>107</v>
      </c>
      <c r="J38" s="366" t="s">
        <v>108</v>
      </c>
      <c r="K38" s="366" t="s">
        <v>107</v>
      </c>
      <c r="L38" s="453" t="s">
        <v>108</v>
      </c>
      <c r="M38" s="454"/>
      <c r="N38" s="469"/>
      <c r="O38" s="470"/>
      <c r="P38" s="472"/>
      <c r="Q38" s="470"/>
      <c r="R38" s="451"/>
      <c r="S38" s="452"/>
      <c r="T38" s="365"/>
      <c r="U38" s="365"/>
      <c r="V38" s="365"/>
    </row>
    <row r="39" spans="1:27" ht="16.3" x14ac:dyDescent="0.25">
      <c r="A39" s="462"/>
      <c r="B39" s="455" t="s">
        <v>114</v>
      </c>
      <c r="C39" s="457" t="str">
        <f>C10</f>
        <v>版本</v>
      </c>
      <c r="D39" s="458"/>
      <c r="E39" s="457" t="str">
        <f>E10</f>
        <v>版本</v>
      </c>
      <c r="F39" s="458"/>
      <c r="G39" s="457" t="str">
        <f>G10</f>
        <v>版本</v>
      </c>
      <c r="H39" s="458"/>
      <c r="I39" s="457" t="str">
        <f>I10</f>
        <v>版本</v>
      </c>
      <c r="J39" s="458"/>
      <c r="K39" s="414" t="str">
        <f>K10</f>
        <v>版本</v>
      </c>
      <c r="L39" s="414"/>
      <c r="M39" s="438"/>
      <c r="N39" s="439">
        <f>SUM(C40:M40)</f>
        <v>0</v>
      </c>
      <c r="O39" s="440"/>
      <c r="P39" s="443">
        <f>N39*E6</f>
        <v>0</v>
      </c>
      <c r="Q39" s="444"/>
      <c r="R39" s="435">
        <f>N39*E5</f>
        <v>0</v>
      </c>
      <c r="S39" s="436"/>
      <c r="T39" s="365"/>
      <c r="U39" s="365"/>
      <c r="V39" s="365"/>
    </row>
    <row r="40" spans="1:27" ht="16.3" x14ac:dyDescent="0.25">
      <c r="A40" s="462"/>
      <c r="B40" s="456"/>
      <c r="C40" s="367" t="str">
        <f>VLOOKUP(C39,工作表3!$A$5:$CY$12,53,FALSE)</f>
        <v>金額</v>
      </c>
      <c r="D40" s="367" t="str">
        <f>VLOOKUP(C39,工作表3!$A$5:$CY$12,54,FALSE)</f>
        <v>金額</v>
      </c>
      <c r="E40" s="367" t="str">
        <f>VLOOKUP(E39,工作表3!$A$5:$CY$12,55,FALSE)</f>
        <v>金額</v>
      </c>
      <c r="F40" s="367" t="str">
        <f>VLOOKUP(E39,工作表3!$A$5:$CY$12,56,FALSE)</f>
        <v>金額</v>
      </c>
      <c r="G40" s="367" t="str">
        <f>VLOOKUP(G39,工作表3!$A$5:$CY$12,57,FALSE)</f>
        <v>金額</v>
      </c>
      <c r="H40" s="367" t="str">
        <f>VLOOKUP(G39,工作表3!$A$5:$CY$12,58,FALSE)</f>
        <v>金額</v>
      </c>
      <c r="I40" s="367" t="str">
        <f>VLOOKUP(I39,工作表3!$A$5:$CY$12,59,FALSE)</f>
        <v>金額</v>
      </c>
      <c r="J40" s="367" t="str">
        <f>VLOOKUP(I39,工作表3!$A$5:$CY$12,60,FALSE)</f>
        <v>金額</v>
      </c>
      <c r="K40" s="367" t="str">
        <f>VLOOKUP(K39,工作表3!$A$5:$CY$12,64,FALSE)</f>
        <v>金額</v>
      </c>
      <c r="L40" s="409" t="str">
        <f>VLOOKUP(K39,工作表3!$A$5:$CY$12,65,FALSE)</f>
        <v>金額</v>
      </c>
      <c r="M40" s="413"/>
      <c r="N40" s="441"/>
      <c r="O40" s="442"/>
      <c r="P40" s="459"/>
      <c r="Q40" s="460"/>
      <c r="R40" s="435"/>
      <c r="S40" s="436"/>
      <c r="T40" s="365"/>
      <c r="U40" s="365"/>
      <c r="V40" s="365"/>
    </row>
    <row r="41" spans="1:27" ht="16.3" x14ac:dyDescent="0.25">
      <c r="A41" s="462"/>
      <c r="B41" s="455" t="s">
        <v>115</v>
      </c>
      <c r="C41" s="457" t="str">
        <f>C12</f>
        <v>版本</v>
      </c>
      <c r="D41" s="458"/>
      <c r="E41" s="457" t="str">
        <f>E12</f>
        <v>版本</v>
      </c>
      <c r="F41" s="458"/>
      <c r="G41" s="457" t="str">
        <f>G12</f>
        <v>版本</v>
      </c>
      <c r="H41" s="458"/>
      <c r="I41" s="457" t="str">
        <f>I12</f>
        <v>版本</v>
      </c>
      <c r="J41" s="458"/>
      <c r="K41" s="414" t="str">
        <f>K12</f>
        <v>版本</v>
      </c>
      <c r="L41" s="414"/>
      <c r="M41" s="438"/>
      <c r="N41" s="439">
        <f>SUM(C42:M42)</f>
        <v>0</v>
      </c>
      <c r="O41" s="440"/>
      <c r="P41" s="443">
        <f>N41*G6</f>
        <v>0</v>
      </c>
      <c r="Q41" s="444"/>
      <c r="R41" s="435">
        <f>N41*G5</f>
        <v>0</v>
      </c>
      <c r="S41" s="436"/>
      <c r="T41" s="365"/>
      <c r="U41" s="365"/>
      <c r="V41" s="365"/>
    </row>
    <row r="42" spans="1:27" ht="16.3" x14ac:dyDescent="0.25">
      <c r="A42" s="462"/>
      <c r="B42" s="456"/>
      <c r="C42" s="367" t="str">
        <f>VLOOKUP(C41,工作表3!$A$5:$CY$12,70,FALSE)</f>
        <v>金額</v>
      </c>
      <c r="D42" s="367" t="str">
        <f>VLOOKUP(C41,工作表3!$A$5:$CY$12,71,FALSE)</f>
        <v>金額</v>
      </c>
      <c r="E42" s="367" t="str">
        <f>VLOOKUP(E41,工作表3!$A$5:$CY$12,72,FALSE)</f>
        <v>金額</v>
      </c>
      <c r="F42" s="367" t="str">
        <f>VLOOKUP(E41,工作表3!$A$5:$CY$12,73,FALSE)</f>
        <v>金額</v>
      </c>
      <c r="G42" s="367" t="str">
        <f>VLOOKUP(G41,工作表3!$A$5:$CY$12,74,FALSE)</f>
        <v>金額</v>
      </c>
      <c r="H42" s="367" t="str">
        <f>VLOOKUP(G41,工作表3!$A$5:$CY$12,75,FALSE)</f>
        <v>金額</v>
      </c>
      <c r="I42" s="367" t="str">
        <f>VLOOKUP(I41,工作表3!$A$5:$CY$12,76,FALSE)</f>
        <v>金額</v>
      </c>
      <c r="J42" s="367" t="str">
        <f>VLOOKUP(I41,工作表3!$A$5:$CY$12,77,FALSE)</f>
        <v>金額</v>
      </c>
      <c r="K42" s="367" t="str">
        <f>VLOOKUP(K41,工作表3!$A$5:$CY$12,81,FALSE)</f>
        <v>金額</v>
      </c>
      <c r="L42" s="409" t="str">
        <f>VLOOKUP(K41,工作表3!$A$5:$CY$12,82,FALSE)</f>
        <v>金額</v>
      </c>
      <c r="M42" s="413"/>
      <c r="N42" s="441"/>
      <c r="O42" s="442"/>
      <c r="P42" s="459"/>
      <c r="Q42" s="460"/>
      <c r="R42" s="435"/>
      <c r="S42" s="436"/>
      <c r="T42" s="365"/>
      <c r="U42" s="365"/>
      <c r="V42" s="365"/>
    </row>
    <row r="43" spans="1:27" ht="16.3" customHeight="1" x14ac:dyDescent="0.25">
      <c r="A43" s="462"/>
      <c r="B43" s="414" t="s">
        <v>116</v>
      </c>
      <c r="C43" s="414" t="str">
        <f>C14</f>
        <v>版本</v>
      </c>
      <c r="D43" s="414"/>
      <c r="E43" s="414" t="str">
        <f>E14</f>
        <v>版本</v>
      </c>
      <c r="F43" s="414"/>
      <c r="G43" s="414" t="str">
        <f>G14</f>
        <v>版本</v>
      </c>
      <c r="H43" s="414"/>
      <c r="I43" s="414" t="str">
        <f>I14</f>
        <v>版本</v>
      </c>
      <c r="J43" s="414"/>
      <c r="K43" s="414" t="str">
        <f>K14</f>
        <v>版本</v>
      </c>
      <c r="L43" s="414"/>
      <c r="M43" s="438"/>
      <c r="N43" s="439">
        <f>SUM(C44:M44)</f>
        <v>0</v>
      </c>
      <c r="O43" s="440"/>
      <c r="P43" s="443">
        <f>N43*I6</f>
        <v>0</v>
      </c>
      <c r="Q43" s="444"/>
      <c r="R43" s="435">
        <f>N43*I5</f>
        <v>0</v>
      </c>
      <c r="S43" s="436"/>
      <c r="T43" s="365"/>
      <c r="U43" s="365"/>
      <c r="V43" s="365"/>
    </row>
    <row r="44" spans="1:27" ht="16.899999999999999" customHeight="1" thickBot="1" x14ac:dyDescent="0.3">
      <c r="A44" s="463"/>
      <c r="B44" s="437"/>
      <c r="C44" s="368" t="str">
        <f>VLOOKUP(C43,工作表3!$A$5:$CY$12,87,FALSE)</f>
        <v>金額</v>
      </c>
      <c r="D44" s="368" t="str">
        <f>VLOOKUP(C43,工作表3!$A$5:$CY$12,88,FALSE)</f>
        <v>金額</v>
      </c>
      <c r="E44" s="368" t="str">
        <f>VLOOKUP(E43,工作表3!$A$5:$CY$12,89,FALSE)</f>
        <v>金額</v>
      </c>
      <c r="F44" s="368" t="str">
        <f>VLOOKUP(E43,工作表3!$A$5:$CY$12,90,FALSE)</f>
        <v>金額</v>
      </c>
      <c r="G44" s="368" t="str">
        <f>VLOOKUP(G43,工作表3!$A$5:$CY$12,91,FALSE)</f>
        <v>金額</v>
      </c>
      <c r="H44" s="368" t="str">
        <f>VLOOKUP(G43,工作表3!$A$5:$CY$12,92,FALSE)</f>
        <v>金額</v>
      </c>
      <c r="I44" s="368" t="str">
        <f>VLOOKUP(I43,工作表3!$A$5:$CY$12,93,FALSE)</f>
        <v>金額</v>
      </c>
      <c r="J44" s="368" t="str">
        <f>VLOOKUP(I43,工作表3!$A$5:$CY$12,94,FALSE)</f>
        <v>金額</v>
      </c>
      <c r="K44" s="368" t="str">
        <f>VLOOKUP(K43,工作表3!$A$5:$CY$12,98,FALSE)</f>
        <v>金額</v>
      </c>
      <c r="L44" s="392" t="str">
        <f>VLOOKUP(K43,工作表3!$A$5:$CY$12,99,FALSE)</f>
        <v>金額</v>
      </c>
      <c r="M44" s="396"/>
      <c r="N44" s="441"/>
      <c r="O44" s="442"/>
      <c r="P44" s="445"/>
      <c r="Q44" s="446"/>
      <c r="R44" s="447"/>
      <c r="S44" s="448"/>
      <c r="T44" s="365"/>
      <c r="U44" s="365"/>
      <c r="V44" s="365"/>
    </row>
    <row r="45" spans="1:27" ht="18.8" thickBot="1" x14ac:dyDescent="0.3">
      <c r="A45" s="369"/>
      <c r="B45" s="370"/>
      <c r="C45" s="371"/>
      <c r="D45" s="371"/>
      <c r="E45" s="371"/>
      <c r="F45" s="371"/>
      <c r="G45" s="371"/>
      <c r="H45" s="371"/>
      <c r="I45" s="371"/>
      <c r="J45" s="371"/>
      <c r="K45" s="372"/>
      <c r="L45" s="372"/>
      <c r="M45" s="372"/>
      <c r="N45" s="418" t="s">
        <v>202</v>
      </c>
      <c r="O45" s="419"/>
      <c r="P45" s="420">
        <f>SUM(P39:Q44)</f>
        <v>0</v>
      </c>
      <c r="Q45" s="421"/>
      <c r="R45" s="422">
        <f>SUM(R39:S44)</f>
        <v>0</v>
      </c>
      <c r="S45" s="423"/>
      <c r="T45" s="365"/>
      <c r="U45" s="365"/>
      <c r="V45" s="365"/>
    </row>
    <row r="46" spans="1:27" ht="8" customHeight="1" thickBot="1" x14ac:dyDescent="0.3">
      <c r="A46" s="373"/>
      <c r="B46" s="374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5"/>
      <c r="T46" s="365"/>
      <c r="U46" s="365"/>
      <c r="V46" s="365"/>
    </row>
    <row r="47" spans="1:27" ht="16.899999999999999" thickTop="1" x14ac:dyDescent="0.25">
      <c r="A47" s="424" t="s">
        <v>190</v>
      </c>
      <c r="B47" s="427" t="s">
        <v>250</v>
      </c>
      <c r="C47" s="429" t="s">
        <v>104</v>
      </c>
      <c r="D47" s="429"/>
      <c r="E47" s="429" t="s">
        <v>105</v>
      </c>
      <c r="F47" s="429"/>
      <c r="G47" s="430" t="s">
        <v>106</v>
      </c>
      <c r="H47" s="431"/>
      <c r="I47" s="429" t="s">
        <v>198</v>
      </c>
      <c r="J47" s="429"/>
      <c r="K47" s="429"/>
      <c r="L47" s="429"/>
      <c r="M47" s="429"/>
      <c r="N47" s="430" t="s">
        <v>201</v>
      </c>
      <c r="O47" s="432"/>
      <c r="P47" s="432"/>
      <c r="Q47" s="432"/>
      <c r="R47" s="433"/>
      <c r="S47" s="376"/>
      <c r="T47" s="397" t="s">
        <v>272</v>
      </c>
      <c r="U47" s="398"/>
      <c r="V47" s="401">
        <f>P45</f>
        <v>0</v>
      </c>
    </row>
    <row r="48" spans="1:27" ht="16.899999999999999" thickBot="1" x14ac:dyDescent="0.3">
      <c r="A48" s="425"/>
      <c r="B48" s="428"/>
      <c r="C48" s="366" t="s">
        <v>107</v>
      </c>
      <c r="D48" s="366" t="s">
        <v>193</v>
      </c>
      <c r="E48" s="366" t="s">
        <v>107</v>
      </c>
      <c r="F48" s="366" t="s">
        <v>192</v>
      </c>
      <c r="G48" s="366" t="s">
        <v>107</v>
      </c>
      <c r="H48" s="366" t="s">
        <v>192</v>
      </c>
      <c r="I48" s="366" t="s">
        <v>107</v>
      </c>
      <c r="J48" s="366" t="s">
        <v>192</v>
      </c>
      <c r="K48" s="366" t="s">
        <v>108</v>
      </c>
      <c r="L48" s="434" t="s">
        <v>192</v>
      </c>
      <c r="M48" s="434"/>
      <c r="N48" s="366" t="s">
        <v>107</v>
      </c>
      <c r="O48" s="434" t="s">
        <v>192</v>
      </c>
      <c r="P48" s="434"/>
      <c r="Q48" s="366" t="s">
        <v>108</v>
      </c>
      <c r="R48" s="377" t="s">
        <v>192</v>
      </c>
      <c r="S48" s="376"/>
      <c r="T48" s="399"/>
      <c r="U48" s="400"/>
      <c r="V48" s="402"/>
    </row>
    <row r="49" spans="1:23" ht="23.2" thickTop="1" x14ac:dyDescent="0.25">
      <c r="A49" s="425"/>
      <c r="B49" s="414" t="s">
        <v>114</v>
      </c>
      <c r="C49" s="378" t="str">
        <f t="shared" ref="C49:L49" si="20">C20</f>
        <v>版本</v>
      </c>
      <c r="D49" s="415">
        <f t="shared" si="20"/>
        <v>0</v>
      </c>
      <c r="E49" s="378" t="str">
        <f t="shared" si="20"/>
        <v>版本</v>
      </c>
      <c r="F49" s="415">
        <f t="shared" si="20"/>
        <v>0</v>
      </c>
      <c r="G49" s="378" t="str">
        <f t="shared" si="20"/>
        <v>版本</v>
      </c>
      <c r="H49" s="415">
        <f t="shared" si="20"/>
        <v>0</v>
      </c>
      <c r="I49" s="378" t="str">
        <f t="shared" si="20"/>
        <v>版本</v>
      </c>
      <c r="J49" s="415">
        <f t="shared" si="20"/>
        <v>0</v>
      </c>
      <c r="K49" s="379" t="str">
        <f t="shared" si="20"/>
        <v>版本</v>
      </c>
      <c r="L49" s="415">
        <f t="shared" si="20"/>
        <v>0</v>
      </c>
      <c r="M49" s="415"/>
      <c r="N49" s="378" t="str">
        <f>N20</f>
        <v>版本</v>
      </c>
      <c r="O49" s="415">
        <f>O20</f>
        <v>0</v>
      </c>
      <c r="P49" s="415"/>
      <c r="Q49" s="378" t="str">
        <f>Q20</f>
        <v>版本</v>
      </c>
      <c r="R49" s="416">
        <f>R20</f>
        <v>0</v>
      </c>
      <c r="S49" s="380"/>
      <c r="T49" s="397" t="s">
        <v>273</v>
      </c>
      <c r="U49" s="398"/>
      <c r="V49" s="401" t="e">
        <f>SUM(C57:R57,C51:R51,C54:R54)</f>
        <v>#VALUE!</v>
      </c>
    </row>
    <row r="50" spans="1:23" ht="23.2" thickBot="1" x14ac:dyDescent="0.3">
      <c r="A50" s="425"/>
      <c r="B50" s="414"/>
      <c r="C50" s="367" t="str">
        <f>VLOOKUP(C49,工作表3!$A$4:$CY$12,61,FALSE)</f>
        <v>金額</v>
      </c>
      <c r="D50" s="415"/>
      <c r="E50" s="367" t="str">
        <f>VLOOKUP(E49,工作表3!$A$4:$CY$12,62,FALSE)</f>
        <v>金額</v>
      </c>
      <c r="F50" s="415"/>
      <c r="G50" s="367" t="str">
        <f>VLOOKUP(G49,工作表3!$A$4:$CY$12,63,FALSE)</f>
        <v>金額</v>
      </c>
      <c r="H50" s="415"/>
      <c r="I50" s="367" t="str">
        <f>VLOOKUP(I49,工作表3!$A$4:$CY$12,66,FALSE)</f>
        <v>金額</v>
      </c>
      <c r="J50" s="415"/>
      <c r="K50" s="367" t="str">
        <f>VLOOKUP(K49,工作表3!$A$4:$CY$12,67,FALSE)</f>
        <v>金額</v>
      </c>
      <c r="L50" s="415"/>
      <c r="M50" s="415"/>
      <c r="N50" s="367" t="str">
        <f>VLOOKUP(N49,工作表3!$A$4:$CY$12,68,FALSE)</f>
        <v>金額</v>
      </c>
      <c r="O50" s="415"/>
      <c r="P50" s="415"/>
      <c r="Q50" s="367" t="str">
        <f>VLOOKUP(Q49,工作表3!$A$4:$CY$12,69,FALSE)</f>
        <v>金額</v>
      </c>
      <c r="R50" s="417"/>
      <c r="S50" s="381"/>
      <c r="T50" s="399"/>
      <c r="U50" s="400"/>
      <c r="V50" s="402"/>
    </row>
    <row r="51" spans="1:23" ht="23.2" thickTop="1" x14ac:dyDescent="0.25">
      <c r="A51" s="425"/>
      <c r="B51" s="366" t="s">
        <v>194</v>
      </c>
      <c r="C51" s="409" t="e">
        <f>C50*D49</f>
        <v>#VALUE!</v>
      </c>
      <c r="D51" s="410"/>
      <c r="E51" s="409" t="e">
        <f t="shared" ref="E51" si="21">E50*F49</f>
        <v>#VALUE!</v>
      </c>
      <c r="F51" s="410"/>
      <c r="G51" s="409" t="e">
        <f t="shared" ref="G51" si="22">G50*H49</f>
        <v>#VALUE!</v>
      </c>
      <c r="H51" s="410"/>
      <c r="I51" s="411" t="e">
        <f t="shared" ref="I51" si="23">I50*J49</f>
        <v>#VALUE!</v>
      </c>
      <c r="J51" s="411"/>
      <c r="K51" s="409" t="e">
        <f t="shared" ref="K51" si="24">K50*L49</f>
        <v>#VALUE!</v>
      </c>
      <c r="L51" s="412"/>
      <c r="M51" s="410"/>
      <c r="N51" s="409" t="e">
        <f t="shared" ref="N51" si="25">N50*O49</f>
        <v>#VALUE!</v>
      </c>
      <c r="O51" s="412"/>
      <c r="P51" s="410"/>
      <c r="Q51" s="409" t="e">
        <f t="shared" ref="Q51" si="26">Q50*R49</f>
        <v>#VALUE!</v>
      </c>
      <c r="R51" s="413"/>
      <c r="S51" s="381"/>
      <c r="T51" s="397" t="s">
        <v>274</v>
      </c>
      <c r="U51" s="398"/>
      <c r="V51" s="401">
        <f>R45</f>
        <v>0</v>
      </c>
    </row>
    <row r="52" spans="1:23" ht="23.2" thickBot="1" x14ac:dyDescent="0.3">
      <c r="A52" s="425"/>
      <c r="B52" s="414" t="s">
        <v>115</v>
      </c>
      <c r="C52" s="378" t="str">
        <f t="shared" ref="C52:L52" si="27">C23</f>
        <v>版本</v>
      </c>
      <c r="D52" s="415">
        <f t="shared" si="27"/>
        <v>0</v>
      </c>
      <c r="E52" s="378" t="str">
        <f t="shared" si="27"/>
        <v>版本</v>
      </c>
      <c r="F52" s="415">
        <f t="shared" si="27"/>
        <v>0</v>
      </c>
      <c r="G52" s="378" t="str">
        <f t="shared" si="27"/>
        <v>版本</v>
      </c>
      <c r="H52" s="415">
        <f t="shared" si="27"/>
        <v>0</v>
      </c>
      <c r="I52" s="378" t="str">
        <f t="shared" si="27"/>
        <v>版本</v>
      </c>
      <c r="J52" s="415">
        <f t="shared" si="27"/>
        <v>0</v>
      </c>
      <c r="K52" s="378" t="str">
        <f t="shared" si="27"/>
        <v>版本</v>
      </c>
      <c r="L52" s="415">
        <f t="shared" si="27"/>
        <v>0</v>
      </c>
      <c r="M52" s="415"/>
      <c r="N52" s="378" t="str">
        <f>N23</f>
        <v>版本</v>
      </c>
      <c r="O52" s="415">
        <f>O23</f>
        <v>0</v>
      </c>
      <c r="P52" s="415"/>
      <c r="Q52" s="378" t="str">
        <f>Q23</f>
        <v>版本</v>
      </c>
      <c r="R52" s="416">
        <f>R23</f>
        <v>0</v>
      </c>
      <c r="S52" s="382"/>
      <c r="T52" s="399"/>
      <c r="U52" s="400"/>
      <c r="V52" s="402"/>
    </row>
    <row r="53" spans="1:23" ht="24.6" customHeight="1" thickTop="1" x14ac:dyDescent="0.25">
      <c r="A53" s="425"/>
      <c r="B53" s="414"/>
      <c r="C53" s="367" t="str">
        <f>VLOOKUP(C52,工作表3!$A$4:$CY$12,78,FALSE)</f>
        <v>金額</v>
      </c>
      <c r="D53" s="415"/>
      <c r="E53" s="367" t="str">
        <f>VLOOKUP(E52,工作表3!$A$4:$CY$12,79,FALSE)</f>
        <v>金額</v>
      </c>
      <c r="F53" s="415"/>
      <c r="G53" s="367" t="str">
        <f>VLOOKUP(G52,工作表3!$A$4:$CY$12,80,FALSE)</f>
        <v>金額</v>
      </c>
      <c r="H53" s="415"/>
      <c r="I53" s="367" t="str">
        <f>VLOOKUP(I52,工作表3!$A$4:$CY$12,83,FALSE)</f>
        <v>金額</v>
      </c>
      <c r="J53" s="415"/>
      <c r="K53" s="367" t="str">
        <f>VLOOKUP(K52,工作表3!$A$4:$CY$12,84,FALSE)</f>
        <v>金額</v>
      </c>
      <c r="L53" s="415"/>
      <c r="M53" s="415"/>
      <c r="N53" s="367" t="str">
        <f>VLOOKUP(N52,工作表3!$A$4:$CY$12,85,FALSE)</f>
        <v>金額</v>
      </c>
      <c r="O53" s="415"/>
      <c r="P53" s="415"/>
      <c r="Q53" s="367" t="str">
        <f>VLOOKUP(Q52,工作表3!$A$4:$CY$12,86,FALSE)</f>
        <v>金額</v>
      </c>
      <c r="R53" s="417"/>
      <c r="S53" s="383"/>
      <c r="T53" s="403" t="s">
        <v>275</v>
      </c>
      <c r="U53" s="404"/>
      <c r="V53" s="407" t="e">
        <f>SUM(V47:V52)</f>
        <v>#VALUE!</v>
      </c>
      <c r="W53" s="166" t="s">
        <v>267</v>
      </c>
    </row>
    <row r="54" spans="1:23" ht="23.8" customHeight="1" thickBot="1" x14ac:dyDescent="0.3">
      <c r="A54" s="425"/>
      <c r="B54" s="366" t="s">
        <v>194</v>
      </c>
      <c r="C54" s="409" t="e">
        <f t="shared" ref="C54" si="28">C53*D52</f>
        <v>#VALUE!</v>
      </c>
      <c r="D54" s="410"/>
      <c r="E54" s="409" t="e">
        <f t="shared" ref="E54" si="29">E53*F52</f>
        <v>#VALUE!</v>
      </c>
      <c r="F54" s="410"/>
      <c r="G54" s="409" t="e">
        <f t="shared" ref="G54" si="30">G53*H52</f>
        <v>#VALUE!</v>
      </c>
      <c r="H54" s="410"/>
      <c r="I54" s="411" t="e">
        <f t="shared" ref="I54" si="31">I53*J52</f>
        <v>#VALUE!</v>
      </c>
      <c r="J54" s="411"/>
      <c r="K54" s="392" t="e">
        <f t="shared" ref="K54" si="32">K53*L52</f>
        <v>#VALUE!</v>
      </c>
      <c r="L54" s="395"/>
      <c r="M54" s="393"/>
      <c r="N54" s="409" t="e">
        <f t="shared" ref="N54" si="33">N53*O52</f>
        <v>#VALUE!</v>
      </c>
      <c r="O54" s="412"/>
      <c r="P54" s="410"/>
      <c r="Q54" s="409" t="e">
        <f t="shared" ref="Q54" si="34">Q53*R52</f>
        <v>#VALUE!</v>
      </c>
      <c r="R54" s="413"/>
      <c r="S54" s="383"/>
      <c r="T54" s="405"/>
      <c r="U54" s="406"/>
      <c r="V54" s="408"/>
    </row>
    <row r="55" spans="1:23" ht="23.2" thickTop="1" x14ac:dyDescent="0.25">
      <c r="A55" s="425"/>
      <c r="B55" s="414" t="s">
        <v>116</v>
      </c>
      <c r="C55" s="378" t="str">
        <f t="shared" ref="C55:L55" si="35">C26</f>
        <v>版本</v>
      </c>
      <c r="D55" s="415">
        <f t="shared" si="35"/>
        <v>0</v>
      </c>
      <c r="E55" s="378" t="str">
        <f t="shared" si="35"/>
        <v>版本</v>
      </c>
      <c r="F55" s="415">
        <f t="shared" si="35"/>
        <v>0</v>
      </c>
      <c r="G55" s="378" t="str">
        <f t="shared" si="35"/>
        <v>版本</v>
      </c>
      <c r="H55" s="415">
        <f t="shared" si="35"/>
        <v>0</v>
      </c>
      <c r="I55" s="378" t="str">
        <f t="shared" si="35"/>
        <v>版本</v>
      </c>
      <c r="J55" s="415">
        <f t="shared" si="35"/>
        <v>0</v>
      </c>
      <c r="K55" s="378" t="str">
        <f t="shared" si="35"/>
        <v>版本</v>
      </c>
      <c r="L55" s="415">
        <f t="shared" si="35"/>
        <v>0</v>
      </c>
      <c r="M55" s="415"/>
      <c r="N55" s="378" t="str">
        <f>N26</f>
        <v>版本</v>
      </c>
      <c r="O55" s="415">
        <f>O26</f>
        <v>0</v>
      </c>
      <c r="P55" s="415"/>
      <c r="Q55" s="378" t="str">
        <f>Q26</f>
        <v>版本</v>
      </c>
      <c r="R55" s="416">
        <f>R26</f>
        <v>0</v>
      </c>
      <c r="S55" s="382"/>
      <c r="T55" s="386" t="s">
        <v>276</v>
      </c>
      <c r="U55" s="387"/>
      <c r="V55" s="390" t="e">
        <f>V53+V25+R16</f>
        <v>#VALUE!</v>
      </c>
    </row>
    <row r="56" spans="1:23" ht="23.2" thickBot="1" x14ac:dyDescent="0.3">
      <c r="A56" s="425"/>
      <c r="B56" s="414"/>
      <c r="C56" s="367" t="str">
        <f>VLOOKUP(C55,工作表3!$A$4:$CY$12,95,FALSE)</f>
        <v>金額</v>
      </c>
      <c r="D56" s="415"/>
      <c r="E56" s="367" t="str">
        <f>VLOOKUP(E55,工作表3!$A$4:$CY$12,96,FALSE)</f>
        <v>金額</v>
      </c>
      <c r="F56" s="415"/>
      <c r="G56" s="367" t="str">
        <f>VLOOKUP(G55,工作表3!$A$4:$CY$12,97,FALSE)</f>
        <v>金額</v>
      </c>
      <c r="H56" s="415"/>
      <c r="I56" s="367" t="str">
        <f>VLOOKUP(I55,工作表3!$A$4:$CY$12,100,FALSE)</f>
        <v>金額</v>
      </c>
      <c r="J56" s="415"/>
      <c r="K56" s="367" t="str">
        <f>VLOOKUP(K55,工作表3!$A$4:$CY$12,101,FALSE)</f>
        <v>金額</v>
      </c>
      <c r="L56" s="415"/>
      <c r="M56" s="415"/>
      <c r="N56" s="367" t="str">
        <f>VLOOKUP(N55,工作表3!$A$4:$CY$12,102,FALSE)</f>
        <v>金額</v>
      </c>
      <c r="O56" s="415"/>
      <c r="P56" s="415"/>
      <c r="Q56" s="367" t="str">
        <f>VLOOKUP(Q55,工作表3!$A$4:$CY$12,103,FALSE)</f>
        <v>金額</v>
      </c>
      <c r="R56" s="417"/>
      <c r="S56" s="381"/>
      <c r="T56" s="388"/>
      <c r="U56" s="389"/>
      <c r="V56" s="391"/>
    </row>
    <row r="57" spans="1:23" ht="23.8" thickTop="1" thickBot="1" x14ac:dyDescent="0.3">
      <c r="A57" s="426"/>
      <c r="B57" s="384" t="s">
        <v>194</v>
      </c>
      <c r="C57" s="392" t="e">
        <f t="shared" ref="C57" si="36">C56*D55</f>
        <v>#VALUE!</v>
      </c>
      <c r="D57" s="393"/>
      <c r="E57" s="392" t="e">
        <f t="shared" ref="E57" si="37">E56*F55</f>
        <v>#VALUE!</v>
      </c>
      <c r="F57" s="393"/>
      <c r="G57" s="392" t="e">
        <f t="shared" ref="G57" si="38">G56*H55</f>
        <v>#VALUE!</v>
      </c>
      <c r="H57" s="393"/>
      <c r="I57" s="394" t="e">
        <f t="shared" ref="I57" si="39">I56*J55</f>
        <v>#VALUE!</v>
      </c>
      <c r="J57" s="394"/>
      <c r="K57" s="392" t="e">
        <f t="shared" ref="K57" si="40">K56*L55</f>
        <v>#VALUE!</v>
      </c>
      <c r="L57" s="395"/>
      <c r="M57" s="393"/>
      <c r="N57" s="392" t="e">
        <f t="shared" ref="N57" si="41">N56*O55</f>
        <v>#VALUE!</v>
      </c>
      <c r="O57" s="395"/>
      <c r="P57" s="393"/>
      <c r="Q57" s="392" t="e">
        <f t="shared" ref="Q57" si="42">Q56*R55</f>
        <v>#VALUE!</v>
      </c>
      <c r="R57" s="396"/>
      <c r="S57" s="381"/>
      <c r="T57" s="365"/>
      <c r="U57" s="365"/>
      <c r="V57" s="365"/>
    </row>
  </sheetData>
  <sheetProtection formatCells="0" formatColumns="0" formatRows="0" insertColumns="0" insertRows="0" insertHyperlinks="0" deleteColumns="0" deleteRows="0" selectLockedCells="1" sort="0" autoFilter="0" pivotTables="0"/>
  <mergeCells count="246">
    <mergeCell ref="A1:U1"/>
    <mergeCell ref="I18:M18"/>
    <mergeCell ref="N18:R18"/>
    <mergeCell ref="K22:M22"/>
    <mergeCell ref="N22:P22"/>
    <mergeCell ref="Q22:R22"/>
    <mergeCell ref="N25:P25"/>
    <mergeCell ref="Q25:R25"/>
    <mergeCell ref="R23:R24"/>
    <mergeCell ref="R20:R21"/>
    <mergeCell ref="P12:Q13"/>
    <mergeCell ref="M2:M6"/>
    <mergeCell ref="A2:A6"/>
    <mergeCell ref="P14:Q15"/>
    <mergeCell ref="R8:S9"/>
    <mergeCell ref="R10:S11"/>
    <mergeCell ref="R12:S13"/>
    <mergeCell ref="R14:S15"/>
    <mergeCell ref="L11:M11"/>
    <mergeCell ref="K12:M12"/>
    <mergeCell ref="L13:M13"/>
    <mergeCell ref="N8:O9"/>
    <mergeCell ref="N10:O11"/>
    <mergeCell ref="N12:O13"/>
    <mergeCell ref="N28:P28"/>
    <mergeCell ref="Q28:R28"/>
    <mergeCell ref="K25:M25"/>
    <mergeCell ref="K10:M10"/>
    <mergeCell ref="L9:M9"/>
    <mergeCell ref="I12:J12"/>
    <mergeCell ref="I14:J14"/>
    <mergeCell ref="N16:O16"/>
    <mergeCell ref="P16:Q16"/>
    <mergeCell ref="R16:S16"/>
    <mergeCell ref="J23:J24"/>
    <mergeCell ref="J26:J27"/>
    <mergeCell ref="N14:O15"/>
    <mergeCell ref="P10:Q11"/>
    <mergeCell ref="P8:Q9"/>
    <mergeCell ref="I8:J8"/>
    <mergeCell ref="I25:J25"/>
    <mergeCell ref="L26:M27"/>
    <mergeCell ref="I10:J10"/>
    <mergeCell ref="K8:M8"/>
    <mergeCell ref="K28:M28"/>
    <mergeCell ref="C25:D25"/>
    <mergeCell ref="J20:J21"/>
    <mergeCell ref="H23:H24"/>
    <mergeCell ref="F23:F24"/>
    <mergeCell ref="D23:D24"/>
    <mergeCell ref="H20:H21"/>
    <mergeCell ref="C22:D22"/>
    <mergeCell ref="E22:F22"/>
    <mergeCell ref="I22:J22"/>
    <mergeCell ref="G22:H22"/>
    <mergeCell ref="G25:H25"/>
    <mergeCell ref="B2:D2"/>
    <mergeCell ref="E2:K2"/>
    <mergeCell ref="B3:D3"/>
    <mergeCell ref="B4:D4"/>
    <mergeCell ref="B5:D5"/>
    <mergeCell ref="B6:D6"/>
    <mergeCell ref="E3:F3"/>
    <mergeCell ref="G3:H3"/>
    <mergeCell ref="I3:J3"/>
    <mergeCell ref="E4:F4"/>
    <mergeCell ref="G4:H4"/>
    <mergeCell ref="I4:J4"/>
    <mergeCell ref="I5:J5"/>
    <mergeCell ref="G5:H5"/>
    <mergeCell ref="E5:F5"/>
    <mergeCell ref="E6:F6"/>
    <mergeCell ref="G6:H6"/>
    <mergeCell ref="I6:J6"/>
    <mergeCell ref="A8:A15"/>
    <mergeCell ref="D20:D21"/>
    <mergeCell ref="K14:M14"/>
    <mergeCell ref="L15:M15"/>
    <mergeCell ref="B8:B9"/>
    <mergeCell ref="C8:D8"/>
    <mergeCell ref="E8:F8"/>
    <mergeCell ref="G8:H8"/>
    <mergeCell ref="A18:A28"/>
    <mergeCell ref="L19:M19"/>
    <mergeCell ref="L20:M21"/>
    <mergeCell ref="L23:M24"/>
    <mergeCell ref="C28:D28"/>
    <mergeCell ref="E28:F28"/>
    <mergeCell ref="G28:H28"/>
    <mergeCell ref="I28:J28"/>
    <mergeCell ref="E25:F25"/>
    <mergeCell ref="B23:B24"/>
    <mergeCell ref="B26:B27"/>
    <mergeCell ref="D26:D27"/>
    <mergeCell ref="E18:F18"/>
    <mergeCell ref="G18:H18"/>
    <mergeCell ref="C18:D18"/>
    <mergeCell ref="B10:B11"/>
    <mergeCell ref="R2:U2"/>
    <mergeCell ref="N3:P3"/>
    <mergeCell ref="S3:T3"/>
    <mergeCell ref="N4:Q4"/>
    <mergeCell ref="S4:T4"/>
    <mergeCell ref="O5:P5"/>
    <mergeCell ref="S5:T5"/>
    <mergeCell ref="O6:P6"/>
    <mergeCell ref="S6:T6"/>
    <mergeCell ref="N2:Q2"/>
    <mergeCell ref="B12:B13"/>
    <mergeCell ref="B14:B15"/>
    <mergeCell ref="B18:B19"/>
    <mergeCell ref="B20:B21"/>
    <mergeCell ref="C10:D10"/>
    <mergeCell ref="C12:D12"/>
    <mergeCell ref="C14:D14"/>
    <mergeCell ref="E12:F12"/>
    <mergeCell ref="E14:F14"/>
    <mergeCell ref="G12:H12"/>
    <mergeCell ref="G14:H14"/>
    <mergeCell ref="F20:F21"/>
    <mergeCell ref="E10:F10"/>
    <mergeCell ref="G10:H10"/>
    <mergeCell ref="T23:U24"/>
    <mergeCell ref="T18:U20"/>
    <mergeCell ref="T25:U27"/>
    <mergeCell ref="V21:V22"/>
    <mergeCell ref="V23:V24"/>
    <mergeCell ref="V25:V27"/>
    <mergeCell ref="V18:V20"/>
    <mergeCell ref="O19:P19"/>
    <mergeCell ref="O20:P21"/>
    <mergeCell ref="O23:P24"/>
    <mergeCell ref="O26:P27"/>
    <mergeCell ref="R26:R27"/>
    <mergeCell ref="T21:U22"/>
    <mergeCell ref="F26:F27"/>
    <mergeCell ref="H26:H27"/>
    <mergeCell ref="A37:A44"/>
    <mergeCell ref="B37:B38"/>
    <mergeCell ref="C37:D37"/>
    <mergeCell ref="E37:F37"/>
    <mergeCell ref="G37:H37"/>
    <mergeCell ref="I37:J37"/>
    <mergeCell ref="K37:M37"/>
    <mergeCell ref="N37:O38"/>
    <mergeCell ref="P37:Q38"/>
    <mergeCell ref="B41:B42"/>
    <mergeCell ref="C41:D41"/>
    <mergeCell ref="E41:F41"/>
    <mergeCell ref="G41:H41"/>
    <mergeCell ref="I41:J41"/>
    <mergeCell ref="K41:M41"/>
    <mergeCell ref="N41:O42"/>
    <mergeCell ref="P41:Q42"/>
    <mergeCell ref="R37:S38"/>
    <mergeCell ref="L38:M38"/>
    <mergeCell ref="B39:B40"/>
    <mergeCell ref="C39:D39"/>
    <mergeCell ref="E39:F39"/>
    <mergeCell ref="G39:H39"/>
    <mergeCell ref="I39:J39"/>
    <mergeCell ref="K39:M39"/>
    <mergeCell ref="N39:O40"/>
    <mergeCell ref="P39:Q40"/>
    <mergeCell ref="R39:S40"/>
    <mergeCell ref="L40:M40"/>
    <mergeCell ref="R41:S42"/>
    <mergeCell ref="L42:M42"/>
    <mergeCell ref="B43:B44"/>
    <mergeCell ref="C43:D43"/>
    <mergeCell ref="E43:F43"/>
    <mergeCell ref="G43:H43"/>
    <mergeCell ref="I43:J43"/>
    <mergeCell ref="K43:M43"/>
    <mergeCell ref="N43:O44"/>
    <mergeCell ref="P43:Q44"/>
    <mergeCell ref="R43:S44"/>
    <mergeCell ref="L44:M44"/>
    <mergeCell ref="N45:O45"/>
    <mergeCell ref="P45:Q45"/>
    <mergeCell ref="R45:S45"/>
    <mergeCell ref="A47:A57"/>
    <mergeCell ref="B47:B48"/>
    <mergeCell ref="C47:D47"/>
    <mergeCell ref="E47:F47"/>
    <mergeCell ref="G47:H47"/>
    <mergeCell ref="I47:M47"/>
    <mergeCell ref="N47:R47"/>
    <mergeCell ref="L48:M48"/>
    <mergeCell ref="O48:P48"/>
    <mergeCell ref="B49:B50"/>
    <mergeCell ref="D49:D50"/>
    <mergeCell ref="F49:F50"/>
    <mergeCell ref="H49:H50"/>
    <mergeCell ref="J49:J50"/>
    <mergeCell ref="L49:M50"/>
    <mergeCell ref="O49:P50"/>
    <mergeCell ref="R49:R50"/>
    <mergeCell ref="C51:D51"/>
    <mergeCell ref="E51:F51"/>
    <mergeCell ref="G51:H51"/>
    <mergeCell ref="I51:J51"/>
    <mergeCell ref="K51:M51"/>
    <mergeCell ref="N51:P51"/>
    <mergeCell ref="Q51:R51"/>
    <mergeCell ref="B52:B53"/>
    <mergeCell ref="D52:D53"/>
    <mergeCell ref="F52:F53"/>
    <mergeCell ref="H52:H53"/>
    <mergeCell ref="J52:J53"/>
    <mergeCell ref="L52:M53"/>
    <mergeCell ref="O52:P53"/>
    <mergeCell ref="R52:R53"/>
    <mergeCell ref="Q54:R54"/>
    <mergeCell ref="B55:B56"/>
    <mergeCell ref="D55:D56"/>
    <mergeCell ref="F55:F56"/>
    <mergeCell ref="H55:H56"/>
    <mergeCell ref="J55:J56"/>
    <mergeCell ref="L55:M56"/>
    <mergeCell ref="O55:P56"/>
    <mergeCell ref="R55:R56"/>
    <mergeCell ref="A36:U36"/>
    <mergeCell ref="T55:U56"/>
    <mergeCell ref="V55:V56"/>
    <mergeCell ref="C57:D57"/>
    <mergeCell ref="E57:F57"/>
    <mergeCell ref="G57:H57"/>
    <mergeCell ref="I57:J57"/>
    <mergeCell ref="K57:M57"/>
    <mergeCell ref="N57:P57"/>
    <mergeCell ref="Q57:R57"/>
    <mergeCell ref="T47:U48"/>
    <mergeCell ref="V47:V48"/>
    <mergeCell ref="T49:U50"/>
    <mergeCell ref="V49:V50"/>
    <mergeCell ref="T51:U52"/>
    <mergeCell ref="V51:V52"/>
    <mergeCell ref="T53:U54"/>
    <mergeCell ref="V53:V54"/>
    <mergeCell ref="C54:D54"/>
    <mergeCell ref="E54:F54"/>
    <mergeCell ref="G54:H54"/>
    <mergeCell ref="I54:J54"/>
    <mergeCell ref="K54:M54"/>
    <mergeCell ref="N54:P54"/>
  </mergeCells>
  <phoneticPr fontId="10" type="noConversion"/>
  <dataValidations count="1">
    <dataValidation type="list" allowBlank="1" showInputMessage="1" showErrorMessage="1" sqref="Q26 K23 C14:L14 C10:K10 C12:L12 C20 C23 C26 E20 E23 E26 G20 G23 G26 N26 N20 Q20 I20 K20 Q23 N23 I23 I26 K26 Q55 K52 C43:L43 C39:K39 C41:L41 C49 C52 C55 E49 E52 E55 G49 G52 G55 N55 N49 Q49 I49 K49 Q52 N52 I52 I55 K55">
      <formula1>版本</formula1>
    </dataValidation>
  </dataValidation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75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90" zoomScaleNormal="90" workbookViewId="0">
      <selection activeCell="A20" sqref="A20"/>
    </sheetView>
  </sheetViews>
  <sheetFormatPr defaultColWidth="10.125" defaultRowHeight="16.3" x14ac:dyDescent="0.3"/>
  <cols>
    <col min="1" max="1" width="15" style="195" customWidth="1"/>
    <col min="2" max="2" width="18.875" style="195" customWidth="1"/>
    <col min="3" max="3" width="17.875" style="203" customWidth="1"/>
    <col min="4" max="4" width="11" style="195" customWidth="1"/>
    <col min="5" max="5" width="10" style="195" customWidth="1"/>
    <col min="6" max="6" width="11.375" style="195" customWidth="1"/>
    <col min="7" max="7" width="10.875" style="195" customWidth="1"/>
    <col min="8" max="8" width="12" style="195" customWidth="1"/>
    <col min="9" max="9" width="5.625" style="195" customWidth="1"/>
    <col min="10" max="10" width="5.5" style="195" customWidth="1"/>
    <col min="11" max="11" width="6.75" style="195" customWidth="1"/>
    <col min="12" max="12" width="14" style="195" customWidth="1"/>
    <col min="13" max="16384" width="10.125" style="195"/>
  </cols>
  <sheetData>
    <row r="1" spans="1:17" ht="22.55" x14ac:dyDescent="0.3">
      <c r="A1" s="608" t="s">
        <v>251</v>
      </c>
      <c r="B1" s="608"/>
      <c r="C1" s="608"/>
      <c r="D1" s="608"/>
      <c r="E1" s="608"/>
      <c r="F1" s="608"/>
      <c r="G1" s="608"/>
      <c r="H1" s="289"/>
      <c r="I1" s="289"/>
      <c r="J1" s="289"/>
      <c r="K1" s="289"/>
      <c r="L1" s="289"/>
    </row>
    <row r="2" spans="1:17" ht="26.95" x14ac:dyDescent="0.45">
      <c r="A2" s="609" t="s">
        <v>152</v>
      </c>
      <c r="B2" s="609"/>
      <c r="C2" s="609"/>
      <c r="D2" s="609"/>
      <c r="E2" s="609"/>
      <c r="F2" s="609"/>
      <c r="G2" s="609"/>
      <c r="H2" s="196"/>
      <c r="I2" s="196"/>
      <c r="J2" s="196"/>
      <c r="K2" s="196"/>
      <c r="L2" s="196"/>
    </row>
    <row r="3" spans="1:17" s="197" customFormat="1" ht="32.6" customHeight="1" x14ac:dyDescent="0.4">
      <c r="A3" s="610" t="s">
        <v>153</v>
      </c>
      <c r="B3" s="612" t="s">
        <v>154</v>
      </c>
      <c r="C3" s="612" t="s">
        <v>155</v>
      </c>
      <c r="D3" s="614" t="s">
        <v>156</v>
      </c>
      <c r="E3" s="615"/>
      <c r="F3" s="610" t="s">
        <v>157</v>
      </c>
      <c r="G3" s="610"/>
      <c r="Q3" s="198"/>
    </row>
    <row r="4" spans="1:17" ht="22.55" customHeight="1" x14ac:dyDescent="0.3">
      <c r="A4" s="611"/>
      <c r="B4" s="613"/>
      <c r="C4" s="613"/>
      <c r="D4" s="290" t="s">
        <v>149</v>
      </c>
      <c r="E4" s="290" t="s">
        <v>150</v>
      </c>
      <c r="F4" s="291" t="s">
        <v>158</v>
      </c>
      <c r="G4" s="291" t="s">
        <v>159</v>
      </c>
    </row>
    <row r="5" spans="1:17" ht="28.8" customHeight="1" x14ac:dyDescent="0.3">
      <c r="A5" s="292"/>
      <c r="B5" s="293"/>
      <c r="C5" s="294"/>
      <c r="D5" s="293"/>
      <c r="E5" s="293"/>
      <c r="F5" s="293"/>
      <c r="G5" s="293"/>
      <c r="H5" s="199"/>
    </row>
    <row r="6" spans="1:17" ht="28.8" customHeight="1" x14ac:dyDescent="0.3">
      <c r="A6" s="292"/>
      <c r="B6" s="297"/>
      <c r="C6" s="294"/>
      <c r="D6" s="297"/>
      <c r="E6" s="297"/>
      <c r="F6" s="297"/>
      <c r="G6" s="297"/>
    </row>
    <row r="7" spans="1:17" ht="28.8" customHeight="1" x14ac:dyDescent="0.3">
      <c r="A7" s="292"/>
      <c r="B7" s="297"/>
      <c r="C7" s="294"/>
      <c r="D7" s="297"/>
      <c r="E7" s="297"/>
      <c r="F7" s="297"/>
      <c r="G7" s="297"/>
    </row>
    <row r="8" spans="1:17" ht="28.8" customHeight="1" x14ac:dyDescent="0.3">
      <c r="A8" s="292"/>
      <c r="B8" s="297"/>
      <c r="C8" s="294"/>
      <c r="D8" s="297"/>
      <c r="E8" s="297"/>
      <c r="F8" s="297"/>
      <c r="G8" s="297"/>
    </row>
    <row r="9" spans="1:17" ht="28.8" customHeight="1" x14ac:dyDescent="0.3">
      <c r="A9" s="292"/>
      <c r="B9" s="297"/>
      <c r="C9" s="294"/>
      <c r="D9" s="297"/>
      <c r="E9" s="297"/>
      <c r="F9" s="297"/>
      <c r="G9" s="297"/>
    </row>
    <row r="10" spans="1:17" ht="28.8" customHeight="1" x14ac:dyDescent="0.3">
      <c r="A10" s="292"/>
      <c r="B10" s="297"/>
      <c r="C10" s="294"/>
      <c r="D10" s="297"/>
      <c r="E10" s="297"/>
      <c r="F10" s="297"/>
      <c r="G10" s="297"/>
    </row>
    <row r="11" spans="1:17" ht="28.8" customHeight="1" x14ac:dyDescent="0.3">
      <c r="A11" s="292"/>
      <c r="B11" s="297"/>
      <c r="C11" s="294"/>
      <c r="D11" s="297"/>
      <c r="E11" s="297"/>
      <c r="F11" s="297"/>
      <c r="G11" s="297"/>
    </row>
    <row r="12" spans="1:17" ht="28.8" customHeight="1" x14ac:dyDescent="0.3">
      <c r="A12" s="292"/>
      <c r="B12" s="297"/>
      <c r="C12" s="294"/>
      <c r="D12" s="297"/>
      <c r="E12" s="297"/>
      <c r="F12" s="297"/>
      <c r="G12" s="297"/>
    </row>
    <row r="13" spans="1:17" ht="28.8" customHeight="1" x14ac:dyDescent="0.3">
      <c r="A13" s="292"/>
      <c r="B13" s="297"/>
      <c r="C13" s="294"/>
      <c r="D13" s="297"/>
      <c r="E13" s="297"/>
      <c r="F13" s="297"/>
      <c r="G13" s="297"/>
    </row>
    <row r="14" spans="1:17" ht="28.8" customHeight="1" x14ac:dyDescent="0.3">
      <c r="A14" s="292"/>
      <c r="B14" s="297"/>
      <c r="C14" s="294"/>
      <c r="D14" s="297"/>
      <c r="E14" s="297"/>
      <c r="F14" s="297"/>
      <c r="G14" s="297"/>
    </row>
    <row r="15" spans="1:17" ht="28.8" customHeight="1" x14ac:dyDescent="0.3">
      <c r="A15" s="292"/>
      <c r="B15" s="297"/>
      <c r="C15" s="294"/>
      <c r="D15" s="297"/>
      <c r="E15" s="297"/>
      <c r="F15" s="297"/>
      <c r="G15" s="297"/>
    </row>
    <row r="16" spans="1:17" ht="28.8" customHeight="1" x14ac:dyDescent="0.3">
      <c r="A16" s="292"/>
      <c r="B16" s="297"/>
      <c r="C16" s="294"/>
      <c r="D16" s="297"/>
      <c r="E16" s="297"/>
      <c r="F16" s="297"/>
      <c r="G16" s="297"/>
    </row>
    <row r="17" spans="1:7" ht="28.8" customHeight="1" x14ac:dyDescent="0.3">
      <c r="A17" s="292"/>
      <c r="B17" s="297"/>
      <c r="C17" s="294"/>
      <c r="D17" s="297"/>
      <c r="E17" s="297"/>
      <c r="F17" s="297"/>
      <c r="G17" s="297"/>
    </row>
    <row r="18" spans="1:7" ht="28.8" customHeight="1" x14ac:dyDescent="0.3">
      <c r="A18" s="292"/>
      <c r="B18" s="297"/>
      <c r="C18" s="294"/>
      <c r="D18" s="297"/>
      <c r="E18" s="297"/>
      <c r="F18" s="297"/>
      <c r="G18" s="297"/>
    </row>
    <row r="19" spans="1:7" ht="28.8" customHeight="1" x14ac:dyDescent="0.3">
      <c r="A19" s="292"/>
      <c r="B19" s="297"/>
      <c r="C19" s="294"/>
      <c r="D19" s="297"/>
      <c r="E19" s="297"/>
      <c r="F19" s="297"/>
      <c r="G19" s="297"/>
    </row>
    <row r="20" spans="1:7" ht="28.8" customHeight="1" x14ac:dyDescent="0.3">
      <c r="A20" s="292"/>
      <c r="B20" s="297"/>
      <c r="C20" s="294"/>
      <c r="D20" s="297"/>
      <c r="E20" s="297"/>
      <c r="F20" s="297"/>
      <c r="G20" s="297"/>
    </row>
    <row r="21" spans="1:7" ht="28.8" customHeight="1" x14ac:dyDescent="0.3">
      <c r="A21" s="292"/>
      <c r="B21" s="297"/>
      <c r="C21" s="294"/>
      <c r="D21" s="297"/>
      <c r="E21" s="297"/>
      <c r="F21" s="297"/>
      <c r="G21" s="297"/>
    </row>
    <row r="22" spans="1:7" ht="28.8" customHeight="1" x14ac:dyDescent="0.3">
      <c r="A22" s="292"/>
      <c r="B22" s="297"/>
      <c r="C22" s="294"/>
      <c r="D22" s="297"/>
      <c r="E22" s="297"/>
      <c r="F22" s="297"/>
      <c r="G22" s="297"/>
    </row>
    <row r="23" spans="1:7" ht="28.8" customHeight="1" x14ac:dyDescent="0.3">
      <c r="A23" s="292"/>
      <c r="B23" s="297"/>
      <c r="C23" s="294"/>
      <c r="D23" s="297"/>
      <c r="E23" s="297"/>
      <c r="F23" s="297"/>
      <c r="G23" s="297"/>
    </row>
    <row r="24" spans="1:7" ht="28.8" customHeight="1" x14ac:dyDescent="0.3">
      <c r="A24" s="292"/>
      <c r="B24" s="297"/>
      <c r="C24" s="294"/>
      <c r="D24" s="297"/>
      <c r="E24" s="297"/>
      <c r="F24" s="297"/>
      <c r="G24" s="297"/>
    </row>
    <row r="25" spans="1:7" ht="28.8" customHeight="1" x14ac:dyDescent="0.3">
      <c r="A25" s="292"/>
      <c r="B25" s="297"/>
      <c r="C25" s="294"/>
      <c r="D25" s="297"/>
      <c r="E25" s="297"/>
      <c r="F25" s="297"/>
      <c r="G25" s="297"/>
    </row>
    <row r="26" spans="1:7" ht="28.8" customHeight="1" x14ac:dyDescent="0.3">
      <c r="A26" s="292"/>
      <c r="B26" s="297"/>
      <c r="C26" s="294"/>
      <c r="D26" s="297"/>
      <c r="E26" s="297"/>
      <c r="F26" s="297"/>
      <c r="G26" s="297"/>
    </row>
    <row r="27" spans="1:7" ht="28.8" customHeight="1" x14ac:dyDescent="0.3">
      <c r="A27" s="292"/>
      <c r="B27" s="297"/>
      <c r="C27" s="294"/>
      <c r="D27" s="297"/>
      <c r="E27" s="297"/>
      <c r="F27" s="297"/>
      <c r="G27" s="297"/>
    </row>
    <row r="28" spans="1:7" ht="28.8" customHeight="1" x14ac:dyDescent="0.3">
      <c r="A28" s="292"/>
      <c r="B28" s="297"/>
      <c r="C28" s="294"/>
      <c r="D28" s="297"/>
      <c r="E28" s="297"/>
      <c r="F28" s="297"/>
      <c r="G28" s="297"/>
    </row>
    <row r="29" spans="1:7" ht="28.8" customHeight="1" x14ac:dyDescent="0.3">
      <c r="A29" s="292"/>
      <c r="B29" s="297"/>
      <c r="C29" s="294"/>
      <c r="D29" s="297"/>
      <c r="E29" s="297"/>
      <c r="F29" s="297"/>
      <c r="G29" s="297"/>
    </row>
    <row r="30" spans="1:7" ht="28.8" customHeight="1" x14ac:dyDescent="0.3">
      <c r="A30" s="292"/>
      <c r="B30" s="297"/>
      <c r="C30" s="294"/>
      <c r="D30" s="297"/>
      <c r="E30" s="297"/>
      <c r="F30" s="297"/>
      <c r="G30" s="297"/>
    </row>
    <row r="31" spans="1:7" ht="28.8" customHeight="1" x14ac:dyDescent="0.3">
      <c r="A31" s="292"/>
      <c r="B31" s="297"/>
      <c r="C31" s="294"/>
      <c r="D31" s="297"/>
      <c r="E31" s="297"/>
      <c r="F31" s="297"/>
      <c r="G31" s="297"/>
    </row>
    <row r="32" spans="1:7" ht="28.8" customHeight="1" x14ac:dyDescent="0.3">
      <c r="A32" s="292"/>
      <c r="B32" s="297"/>
      <c r="C32" s="294"/>
      <c r="D32" s="297"/>
      <c r="E32" s="297"/>
      <c r="F32" s="297"/>
      <c r="G32" s="297"/>
    </row>
    <row r="33" spans="1:12" ht="28.8" customHeight="1" x14ac:dyDescent="0.3">
      <c r="A33" s="298" t="s">
        <v>160</v>
      </c>
      <c r="B33" s="297"/>
      <c r="C33" s="294"/>
      <c r="D33" s="297"/>
      <c r="E33" s="297"/>
      <c r="F33" s="297"/>
      <c r="G33" s="297"/>
    </row>
    <row r="34" spans="1:12" ht="28.8" customHeight="1" x14ac:dyDescent="0.3">
      <c r="A34" s="600" t="s">
        <v>151</v>
      </c>
      <c r="B34" s="601"/>
      <c r="C34" s="602"/>
      <c r="D34" s="295">
        <f>SUM(D5:D33)</f>
        <v>0</v>
      </c>
      <c r="E34" s="295">
        <f>SUM(E5:E33)</f>
        <v>0</v>
      </c>
      <c r="F34" s="295">
        <f>SUM(F5:F33)</f>
        <v>0</v>
      </c>
      <c r="G34" s="295">
        <f>SUM(G5:G33)</f>
        <v>0</v>
      </c>
    </row>
    <row r="35" spans="1:12" ht="28.8" customHeight="1" x14ac:dyDescent="0.3">
      <c r="A35" s="603"/>
      <c r="B35" s="604"/>
      <c r="C35" s="605"/>
      <c r="D35" s="606">
        <f>SUM(D34:E34)</f>
        <v>0</v>
      </c>
      <c r="E35" s="607"/>
      <c r="F35" s="606">
        <f>SUM(F34:G34)</f>
        <v>0</v>
      </c>
      <c r="G35" s="607"/>
    </row>
    <row r="36" spans="1:12" ht="22.55" x14ac:dyDescent="0.3">
      <c r="A36" s="296" t="s">
        <v>161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</row>
    <row r="37" spans="1:12" x14ac:dyDescent="0.3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</row>
    <row r="38" spans="1:12" s="197" customFormat="1" x14ac:dyDescent="0.3">
      <c r="A38" s="201"/>
      <c r="B38" s="201"/>
      <c r="C38" s="201"/>
      <c r="D38" s="201"/>
      <c r="E38" s="201"/>
      <c r="F38" s="201"/>
      <c r="G38" s="201"/>
      <c r="H38" s="202"/>
      <c r="I38" s="202"/>
      <c r="J38" s="202"/>
      <c r="K38" s="202"/>
      <c r="L38" s="202"/>
    </row>
    <row r="39" spans="1:12" s="197" customFormat="1" x14ac:dyDescent="0.3">
      <c r="A39" s="195"/>
      <c r="B39" s="195"/>
      <c r="C39" s="203"/>
      <c r="D39" s="195"/>
      <c r="E39" s="195"/>
      <c r="F39" s="195"/>
      <c r="G39" s="195"/>
      <c r="H39" s="195"/>
      <c r="I39" s="195"/>
      <c r="J39" s="195"/>
      <c r="K39" s="195"/>
      <c r="L39" s="195"/>
    </row>
  </sheetData>
  <sheetProtection formatCells="0" formatColumns="0" formatRows="0" insertColumns="0" insertRows="0" insertHyperlinks="0" deleteColumns="0" deleteRows="0" selectLockedCells="1" sort="0" autoFilter="0"/>
  <mergeCells count="10">
    <mergeCell ref="A34:C35"/>
    <mergeCell ref="D35:E35"/>
    <mergeCell ref="F35:G35"/>
    <mergeCell ref="A1:G1"/>
    <mergeCell ref="A2:G2"/>
    <mergeCell ref="A3:A4"/>
    <mergeCell ref="B3:B4"/>
    <mergeCell ref="C3:C4"/>
    <mergeCell ref="D3:E3"/>
    <mergeCell ref="F3:G3"/>
  </mergeCells>
  <phoneticPr fontId="3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3"/>
  <sheetViews>
    <sheetView workbookViewId="0">
      <selection activeCell="CY12" sqref="CY12"/>
    </sheetView>
  </sheetViews>
  <sheetFormatPr defaultColWidth="9.25" defaultRowHeight="16.3" x14ac:dyDescent="0.3"/>
  <cols>
    <col min="1" max="50" width="9.25" style="180"/>
    <col min="51" max="52" width="9.25" style="276"/>
    <col min="53" max="16384" width="9.25" style="180"/>
  </cols>
  <sheetData>
    <row r="1" spans="1:110" x14ac:dyDescent="0.3">
      <c r="A1" s="192">
        <v>1</v>
      </c>
      <c r="B1" s="192">
        <v>2</v>
      </c>
      <c r="C1" s="192">
        <v>3</v>
      </c>
      <c r="D1" s="192">
        <v>4</v>
      </c>
      <c r="E1" s="192">
        <v>5</v>
      </c>
      <c r="F1" s="192">
        <v>6</v>
      </c>
      <c r="G1" s="192">
        <v>7</v>
      </c>
      <c r="H1" s="192">
        <v>8</v>
      </c>
      <c r="I1" s="192">
        <v>9</v>
      </c>
      <c r="J1" s="192">
        <v>10</v>
      </c>
      <c r="K1" s="192">
        <v>11</v>
      </c>
      <c r="L1" s="192">
        <v>12</v>
      </c>
      <c r="M1" s="192">
        <v>13</v>
      </c>
      <c r="N1" s="192">
        <v>14</v>
      </c>
      <c r="O1" s="192">
        <v>15</v>
      </c>
      <c r="P1" s="192">
        <v>16</v>
      </c>
      <c r="Q1" s="192">
        <v>17</v>
      </c>
      <c r="R1" s="192">
        <v>18</v>
      </c>
      <c r="S1" s="192">
        <v>19</v>
      </c>
      <c r="T1" s="192">
        <v>20</v>
      </c>
      <c r="U1" s="192">
        <v>21</v>
      </c>
      <c r="V1" s="192">
        <v>22</v>
      </c>
      <c r="W1" s="192">
        <v>23</v>
      </c>
      <c r="X1" s="192">
        <v>24</v>
      </c>
      <c r="Y1" s="192">
        <v>25</v>
      </c>
      <c r="Z1" s="192">
        <v>26</v>
      </c>
      <c r="AA1" s="192">
        <v>27</v>
      </c>
      <c r="AB1" s="192">
        <v>28</v>
      </c>
      <c r="AC1" s="192">
        <v>29</v>
      </c>
      <c r="AD1" s="192">
        <v>30</v>
      </c>
      <c r="AE1" s="192">
        <v>31</v>
      </c>
      <c r="AF1" s="192">
        <v>32</v>
      </c>
      <c r="AG1" s="192">
        <v>33</v>
      </c>
      <c r="AH1" s="192">
        <v>34</v>
      </c>
      <c r="AI1" s="192">
        <v>35</v>
      </c>
      <c r="AJ1" s="192">
        <v>36</v>
      </c>
      <c r="AK1" s="192">
        <v>37</v>
      </c>
      <c r="AL1" s="192">
        <v>38</v>
      </c>
      <c r="AM1" s="192">
        <v>39</v>
      </c>
      <c r="AN1" s="192">
        <v>40</v>
      </c>
      <c r="AO1" s="192">
        <v>41</v>
      </c>
      <c r="AP1" s="192">
        <v>42</v>
      </c>
      <c r="AQ1" s="192">
        <v>43</v>
      </c>
      <c r="AR1" s="192">
        <v>44</v>
      </c>
      <c r="AS1" s="192">
        <v>45</v>
      </c>
      <c r="AT1" s="192">
        <v>46</v>
      </c>
      <c r="AU1" s="192">
        <v>47</v>
      </c>
      <c r="AV1" s="192">
        <v>48</v>
      </c>
      <c r="AW1" s="192">
        <v>49</v>
      </c>
      <c r="AX1" s="192">
        <v>50</v>
      </c>
      <c r="AY1" s="275">
        <v>51</v>
      </c>
      <c r="AZ1" s="275">
        <v>52</v>
      </c>
      <c r="BA1" s="193">
        <v>53</v>
      </c>
      <c r="BB1" s="193">
        <v>54</v>
      </c>
      <c r="BC1" s="193">
        <v>55</v>
      </c>
      <c r="BD1" s="193">
        <v>56</v>
      </c>
      <c r="BE1" s="193">
        <v>57</v>
      </c>
      <c r="BF1" s="193">
        <v>58</v>
      </c>
      <c r="BG1" s="193">
        <v>59</v>
      </c>
      <c r="BH1" s="193">
        <v>60</v>
      </c>
      <c r="BI1" s="193">
        <v>61</v>
      </c>
      <c r="BJ1" s="193">
        <v>62</v>
      </c>
      <c r="BK1" s="193">
        <v>63</v>
      </c>
      <c r="BL1" s="193">
        <v>64</v>
      </c>
      <c r="BM1" s="193">
        <v>65</v>
      </c>
      <c r="BN1" s="193">
        <v>66</v>
      </c>
      <c r="BO1" s="193">
        <v>67</v>
      </c>
      <c r="BP1" s="193">
        <v>68</v>
      </c>
      <c r="BQ1" s="193">
        <v>69</v>
      </c>
      <c r="BR1" s="193">
        <v>70</v>
      </c>
      <c r="BS1" s="193">
        <v>71</v>
      </c>
      <c r="BT1" s="193">
        <v>72</v>
      </c>
      <c r="BU1" s="193">
        <v>73</v>
      </c>
      <c r="BV1" s="193">
        <v>74</v>
      </c>
      <c r="BW1" s="193">
        <v>75</v>
      </c>
      <c r="BX1" s="193">
        <v>76</v>
      </c>
      <c r="BY1" s="193">
        <v>77</v>
      </c>
      <c r="BZ1" s="193">
        <v>78</v>
      </c>
      <c r="CA1" s="193">
        <v>79</v>
      </c>
      <c r="CB1" s="193">
        <v>80</v>
      </c>
      <c r="CC1" s="193">
        <v>81</v>
      </c>
      <c r="CD1" s="193">
        <v>82</v>
      </c>
      <c r="CE1" s="193">
        <v>83</v>
      </c>
      <c r="CF1" s="193">
        <v>84</v>
      </c>
      <c r="CG1" s="193">
        <v>85</v>
      </c>
      <c r="CH1" s="193">
        <v>86</v>
      </c>
      <c r="CI1" s="193">
        <v>87</v>
      </c>
      <c r="CJ1" s="193">
        <v>88</v>
      </c>
      <c r="CK1" s="193">
        <v>89</v>
      </c>
      <c r="CL1" s="193">
        <v>90</v>
      </c>
      <c r="CM1" s="193">
        <v>91</v>
      </c>
      <c r="CN1" s="193">
        <v>92</v>
      </c>
      <c r="CO1" s="193">
        <v>93</v>
      </c>
      <c r="CP1" s="193">
        <v>94</v>
      </c>
      <c r="CQ1" s="193">
        <v>95</v>
      </c>
      <c r="CR1" s="193">
        <v>96</v>
      </c>
      <c r="CS1" s="193">
        <v>97</v>
      </c>
      <c r="CT1" s="193">
        <v>98</v>
      </c>
      <c r="CU1" s="193">
        <v>99</v>
      </c>
      <c r="CV1" s="193">
        <v>100</v>
      </c>
      <c r="CW1" s="193">
        <v>101</v>
      </c>
      <c r="CX1" s="193">
        <v>102</v>
      </c>
      <c r="CY1" s="193">
        <v>103</v>
      </c>
      <c r="CZ1" s="192"/>
      <c r="DA1" s="192"/>
      <c r="DB1" s="192"/>
      <c r="DC1" s="192"/>
      <c r="DD1" s="192"/>
      <c r="DE1" s="192"/>
      <c r="DF1" s="192"/>
    </row>
    <row r="2" spans="1:110" ht="32.6" x14ac:dyDescent="0.3">
      <c r="A2" s="178" t="s">
        <v>144</v>
      </c>
      <c r="B2" s="277" t="s">
        <v>210</v>
      </c>
      <c r="C2" s="277" t="s">
        <v>210</v>
      </c>
      <c r="D2" s="277" t="s">
        <v>213</v>
      </c>
      <c r="E2" s="277" t="s">
        <v>213</v>
      </c>
      <c r="F2" s="277" t="s">
        <v>214</v>
      </c>
      <c r="G2" s="277" t="s">
        <v>214</v>
      </c>
      <c r="H2" s="277" t="s">
        <v>215</v>
      </c>
      <c r="I2" s="277" t="s">
        <v>215</v>
      </c>
      <c r="J2" s="277" t="s">
        <v>216</v>
      </c>
      <c r="K2" s="277" t="s">
        <v>217</v>
      </c>
      <c r="L2" s="277" t="s">
        <v>218</v>
      </c>
      <c r="M2" s="277" t="s">
        <v>219</v>
      </c>
      <c r="N2" s="277" t="s">
        <v>219</v>
      </c>
      <c r="O2" s="277" t="s">
        <v>220</v>
      </c>
      <c r="P2" s="277" t="s">
        <v>220</v>
      </c>
      <c r="Q2" s="277" t="s">
        <v>220</v>
      </c>
      <c r="R2" s="277" t="s">
        <v>220</v>
      </c>
      <c r="S2" s="277" t="s">
        <v>210</v>
      </c>
      <c r="T2" s="277" t="s">
        <v>210</v>
      </c>
      <c r="U2" s="277" t="s">
        <v>213</v>
      </c>
      <c r="V2" s="277" t="s">
        <v>213</v>
      </c>
      <c r="W2" s="277" t="s">
        <v>214</v>
      </c>
      <c r="X2" s="277" t="s">
        <v>214</v>
      </c>
      <c r="Y2" s="277" t="s">
        <v>215</v>
      </c>
      <c r="Z2" s="277" t="s">
        <v>215</v>
      </c>
      <c r="AA2" s="277" t="s">
        <v>216</v>
      </c>
      <c r="AB2" s="277" t="s">
        <v>217</v>
      </c>
      <c r="AC2" s="277" t="s">
        <v>218</v>
      </c>
      <c r="AD2" s="277" t="s">
        <v>219</v>
      </c>
      <c r="AE2" s="277" t="s">
        <v>219</v>
      </c>
      <c r="AF2" s="277" t="s">
        <v>220</v>
      </c>
      <c r="AG2" s="277" t="s">
        <v>220</v>
      </c>
      <c r="AH2" s="277" t="s">
        <v>220</v>
      </c>
      <c r="AI2" s="277" t="s">
        <v>220</v>
      </c>
      <c r="AJ2" s="277" t="s">
        <v>210</v>
      </c>
      <c r="AK2" s="277" t="s">
        <v>210</v>
      </c>
      <c r="AL2" s="277" t="s">
        <v>213</v>
      </c>
      <c r="AM2" s="277" t="s">
        <v>213</v>
      </c>
      <c r="AN2" s="277" t="s">
        <v>214</v>
      </c>
      <c r="AO2" s="277" t="s">
        <v>214</v>
      </c>
      <c r="AP2" s="277" t="s">
        <v>215</v>
      </c>
      <c r="AQ2" s="277" t="s">
        <v>215</v>
      </c>
      <c r="AR2" s="277" t="s">
        <v>216</v>
      </c>
      <c r="AS2" s="277" t="s">
        <v>217</v>
      </c>
      <c r="AT2" s="277" t="s">
        <v>218</v>
      </c>
      <c r="AU2" s="277" t="s">
        <v>219</v>
      </c>
      <c r="AV2" s="277" t="s">
        <v>219</v>
      </c>
      <c r="AW2" s="277" t="s">
        <v>220</v>
      </c>
      <c r="AX2" s="277" t="s">
        <v>220</v>
      </c>
      <c r="AY2" s="277" t="s">
        <v>220</v>
      </c>
      <c r="AZ2" s="277" t="s">
        <v>220</v>
      </c>
      <c r="BA2" s="277" t="s">
        <v>210</v>
      </c>
      <c r="BB2" s="277" t="s">
        <v>210</v>
      </c>
      <c r="BC2" s="277" t="s">
        <v>213</v>
      </c>
      <c r="BD2" s="277" t="s">
        <v>213</v>
      </c>
      <c r="BE2" s="277" t="s">
        <v>214</v>
      </c>
      <c r="BF2" s="277" t="s">
        <v>214</v>
      </c>
      <c r="BG2" s="277" t="s">
        <v>215</v>
      </c>
      <c r="BH2" s="277" t="s">
        <v>215</v>
      </c>
      <c r="BI2" s="277" t="s">
        <v>216</v>
      </c>
      <c r="BJ2" s="277" t="s">
        <v>217</v>
      </c>
      <c r="BK2" s="277" t="s">
        <v>218</v>
      </c>
      <c r="BL2" s="277" t="s">
        <v>219</v>
      </c>
      <c r="BM2" s="277" t="s">
        <v>219</v>
      </c>
      <c r="BN2" s="277" t="s">
        <v>220</v>
      </c>
      <c r="BO2" s="277" t="s">
        <v>220</v>
      </c>
      <c r="BP2" s="277" t="s">
        <v>220</v>
      </c>
      <c r="BQ2" s="277" t="s">
        <v>220</v>
      </c>
      <c r="BR2" s="277" t="s">
        <v>210</v>
      </c>
      <c r="BS2" s="277" t="s">
        <v>210</v>
      </c>
      <c r="BT2" s="277" t="s">
        <v>213</v>
      </c>
      <c r="BU2" s="277" t="s">
        <v>213</v>
      </c>
      <c r="BV2" s="277" t="s">
        <v>214</v>
      </c>
      <c r="BW2" s="277" t="s">
        <v>214</v>
      </c>
      <c r="BX2" s="277" t="s">
        <v>215</v>
      </c>
      <c r="BY2" s="277" t="s">
        <v>215</v>
      </c>
      <c r="BZ2" s="277" t="s">
        <v>216</v>
      </c>
      <c r="CA2" s="277" t="s">
        <v>217</v>
      </c>
      <c r="CB2" s="277" t="s">
        <v>218</v>
      </c>
      <c r="CC2" s="277" t="s">
        <v>219</v>
      </c>
      <c r="CD2" s="277" t="s">
        <v>219</v>
      </c>
      <c r="CE2" s="277" t="s">
        <v>220</v>
      </c>
      <c r="CF2" s="277" t="s">
        <v>220</v>
      </c>
      <c r="CG2" s="277" t="s">
        <v>220</v>
      </c>
      <c r="CH2" s="277" t="s">
        <v>220</v>
      </c>
      <c r="CI2" s="277" t="s">
        <v>210</v>
      </c>
      <c r="CJ2" s="277" t="s">
        <v>210</v>
      </c>
      <c r="CK2" s="277" t="s">
        <v>213</v>
      </c>
      <c r="CL2" s="277" t="s">
        <v>213</v>
      </c>
      <c r="CM2" s="277" t="s">
        <v>214</v>
      </c>
      <c r="CN2" s="277" t="s">
        <v>214</v>
      </c>
      <c r="CO2" s="277" t="s">
        <v>215</v>
      </c>
      <c r="CP2" s="277" t="s">
        <v>215</v>
      </c>
      <c r="CQ2" s="277" t="s">
        <v>216</v>
      </c>
      <c r="CR2" s="277" t="s">
        <v>217</v>
      </c>
      <c r="CS2" s="277" t="s">
        <v>218</v>
      </c>
      <c r="CT2" s="277" t="s">
        <v>219</v>
      </c>
      <c r="CU2" s="277" t="s">
        <v>219</v>
      </c>
      <c r="CV2" s="277" t="s">
        <v>220</v>
      </c>
      <c r="CW2" s="277" t="s">
        <v>220</v>
      </c>
      <c r="CX2" s="277" t="s">
        <v>220</v>
      </c>
      <c r="CY2" s="277" t="s">
        <v>220</v>
      </c>
    </row>
    <row r="3" spans="1:110" x14ac:dyDescent="0.3">
      <c r="A3" s="179" t="s">
        <v>145</v>
      </c>
      <c r="B3" s="278">
        <v>7</v>
      </c>
      <c r="C3" s="278">
        <v>7</v>
      </c>
      <c r="D3" s="278">
        <v>7</v>
      </c>
      <c r="E3" s="278">
        <v>7</v>
      </c>
      <c r="F3" s="278">
        <v>7</v>
      </c>
      <c r="G3" s="278">
        <v>7</v>
      </c>
      <c r="H3" s="278">
        <v>7</v>
      </c>
      <c r="I3" s="278">
        <v>7</v>
      </c>
      <c r="J3" s="278">
        <v>7</v>
      </c>
      <c r="K3" s="278">
        <v>7</v>
      </c>
      <c r="L3" s="278">
        <v>7</v>
      </c>
      <c r="M3" s="278">
        <v>7</v>
      </c>
      <c r="N3" s="278">
        <v>7</v>
      </c>
      <c r="O3" s="278">
        <v>7</v>
      </c>
      <c r="P3" s="278">
        <v>7</v>
      </c>
      <c r="Q3" s="278">
        <v>7</v>
      </c>
      <c r="R3" s="278">
        <v>7</v>
      </c>
      <c r="S3" s="278">
        <v>8</v>
      </c>
      <c r="T3" s="278">
        <v>8</v>
      </c>
      <c r="U3" s="278">
        <v>8</v>
      </c>
      <c r="V3" s="278">
        <v>8</v>
      </c>
      <c r="W3" s="278">
        <v>8</v>
      </c>
      <c r="X3" s="278">
        <v>8</v>
      </c>
      <c r="Y3" s="278">
        <v>8</v>
      </c>
      <c r="Z3" s="278">
        <v>8</v>
      </c>
      <c r="AA3" s="278">
        <v>8</v>
      </c>
      <c r="AB3" s="278">
        <v>8</v>
      </c>
      <c r="AC3" s="278">
        <v>8</v>
      </c>
      <c r="AD3" s="278">
        <v>8</v>
      </c>
      <c r="AE3" s="278">
        <v>8</v>
      </c>
      <c r="AF3" s="278">
        <v>8</v>
      </c>
      <c r="AG3" s="278">
        <v>8</v>
      </c>
      <c r="AH3" s="278">
        <v>8</v>
      </c>
      <c r="AI3" s="278">
        <v>8</v>
      </c>
      <c r="AJ3" s="278">
        <v>9</v>
      </c>
      <c r="AK3" s="278">
        <v>9</v>
      </c>
      <c r="AL3" s="278">
        <v>9</v>
      </c>
      <c r="AM3" s="278">
        <v>9</v>
      </c>
      <c r="AN3" s="278">
        <v>9</v>
      </c>
      <c r="AO3" s="278">
        <v>9</v>
      </c>
      <c r="AP3" s="278">
        <v>9</v>
      </c>
      <c r="AQ3" s="278">
        <v>9</v>
      </c>
      <c r="AR3" s="278">
        <v>9</v>
      </c>
      <c r="AS3" s="278">
        <v>9</v>
      </c>
      <c r="AT3" s="278">
        <v>9</v>
      </c>
      <c r="AU3" s="278">
        <v>9</v>
      </c>
      <c r="AV3" s="278">
        <v>9</v>
      </c>
      <c r="AW3" s="278">
        <v>9</v>
      </c>
      <c r="AX3" s="278">
        <v>9</v>
      </c>
      <c r="AY3" s="278">
        <v>9</v>
      </c>
      <c r="AZ3" s="278">
        <v>9</v>
      </c>
      <c r="BA3" s="278">
        <v>7</v>
      </c>
      <c r="BB3" s="278">
        <v>7</v>
      </c>
      <c r="BC3" s="278">
        <v>7</v>
      </c>
      <c r="BD3" s="278">
        <v>7</v>
      </c>
      <c r="BE3" s="278">
        <v>7</v>
      </c>
      <c r="BF3" s="278">
        <v>7</v>
      </c>
      <c r="BG3" s="278">
        <v>7</v>
      </c>
      <c r="BH3" s="278">
        <v>7</v>
      </c>
      <c r="BI3" s="278">
        <v>7</v>
      </c>
      <c r="BJ3" s="278">
        <v>7</v>
      </c>
      <c r="BK3" s="278">
        <v>7</v>
      </c>
      <c r="BL3" s="278">
        <v>7</v>
      </c>
      <c r="BM3" s="278">
        <v>7</v>
      </c>
      <c r="BN3" s="278">
        <v>7</v>
      </c>
      <c r="BO3" s="278">
        <v>7</v>
      </c>
      <c r="BP3" s="278">
        <v>7</v>
      </c>
      <c r="BQ3" s="278">
        <v>7</v>
      </c>
      <c r="BR3" s="278">
        <v>8</v>
      </c>
      <c r="BS3" s="278">
        <v>8</v>
      </c>
      <c r="BT3" s="278">
        <v>8</v>
      </c>
      <c r="BU3" s="278">
        <v>8</v>
      </c>
      <c r="BV3" s="278">
        <v>8</v>
      </c>
      <c r="BW3" s="278">
        <v>8</v>
      </c>
      <c r="BX3" s="278">
        <v>8</v>
      </c>
      <c r="BY3" s="278">
        <v>8</v>
      </c>
      <c r="BZ3" s="278">
        <v>8</v>
      </c>
      <c r="CA3" s="278">
        <v>8</v>
      </c>
      <c r="CB3" s="278">
        <v>8</v>
      </c>
      <c r="CC3" s="278">
        <v>8</v>
      </c>
      <c r="CD3" s="278">
        <v>8</v>
      </c>
      <c r="CE3" s="278">
        <v>8</v>
      </c>
      <c r="CF3" s="278">
        <v>8</v>
      </c>
      <c r="CG3" s="278">
        <v>8</v>
      </c>
      <c r="CH3" s="278">
        <v>8</v>
      </c>
      <c r="CI3" s="278">
        <v>9</v>
      </c>
      <c r="CJ3" s="278">
        <v>9</v>
      </c>
      <c r="CK3" s="278">
        <v>9</v>
      </c>
      <c r="CL3" s="278">
        <v>9</v>
      </c>
      <c r="CM3" s="278">
        <v>9</v>
      </c>
      <c r="CN3" s="278">
        <v>9</v>
      </c>
      <c r="CO3" s="278">
        <v>9</v>
      </c>
      <c r="CP3" s="278">
        <v>9</v>
      </c>
      <c r="CQ3" s="278">
        <v>9</v>
      </c>
      <c r="CR3" s="278">
        <v>9</v>
      </c>
      <c r="CS3" s="278">
        <v>9</v>
      </c>
      <c r="CT3" s="278">
        <v>9</v>
      </c>
      <c r="CU3" s="278">
        <v>9</v>
      </c>
      <c r="CV3" s="278">
        <v>9</v>
      </c>
      <c r="CW3" s="278">
        <v>9</v>
      </c>
      <c r="CX3" s="278">
        <v>9</v>
      </c>
      <c r="CY3" s="278">
        <v>9</v>
      </c>
    </row>
    <row r="4" spans="1:110" x14ac:dyDescent="0.3">
      <c r="A4" s="179" t="s">
        <v>141</v>
      </c>
      <c r="B4" s="277" t="s">
        <v>211</v>
      </c>
      <c r="C4" s="277" t="s">
        <v>212</v>
      </c>
      <c r="D4" s="277" t="s">
        <v>211</v>
      </c>
      <c r="E4" s="277" t="s">
        <v>212</v>
      </c>
      <c r="F4" s="277" t="s">
        <v>211</v>
      </c>
      <c r="G4" s="277" t="s">
        <v>212</v>
      </c>
      <c r="H4" s="277" t="s">
        <v>211</v>
      </c>
      <c r="I4" s="277" t="s">
        <v>212</v>
      </c>
      <c r="J4" s="277" t="s">
        <v>211</v>
      </c>
      <c r="K4" s="277" t="s">
        <v>211</v>
      </c>
      <c r="L4" s="277" t="s">
        <v>211</v>
      </c>
      <c r="M4" s="277" t="s">
        <v>211</v>
      </c>
      <c r="N4" s="277" t="s">
        <v>212</v>
      </c>
      <c r="O4" s="277" t="s">
        <v>211</v>
      </c>
      <c r="P4" s="277" t="s">
        <v>212</v>
      </c>
      <c r="Q4" s="277" t="s">
        <v>211</v>
      </c>
      <c r="R4" s="277" t="s">
        <v>212</v>
      </c>
      <c r="S4" s="277" t="s">
        <v>211</v>
      </c>
      <c r="T4" s="277" t="s">
        <v>212</v>
      </c>
      <c r="U4" s="277" t="s">
        <v>211</v>
      </c>
      <c r="V4" s="277" t="s">
        <v>212</v>
      </c>
      <c r="W4" s="277" t="s">
        <v>211</v>
      </c>
      <c r="X4" s="277" t="s">
        <v>212</v>
      </c>
      <c r="Y4" s="277" t="s">
        <v>211</v>
      </c>
      <c r="Z4" s="277" t="s">
        <v>212</v>
      </c>
      <c r="AA4" s="277" t="s">
        <v>211</v>
      </c>
      <c r="AB4" s="277" t="s">
        <v>211</v>
      </c>
      <c r="AC4" s="277" t="s">
        <v>211</v>
      </c>
      <c r="AD4" s="277" t="s">
        <v>211</v>
      </c>
      <c r="AE4" s="277" t="s">
        <v>212</v>
      </c>
      <c r="AF4" s="277" t="s">
        <v>211</v>
      </c>
      <c r="AG4" s="277" t="s">
        <v>212</v>
      </c>
      <c r="AH4" s="277" t="s">
        <v>211</v>
      </c>
      <c r="AI4" s="277" t="s">
        <v>212</v>
      </c>
      <c r="AJ4" s="277" t="s">
        <v>211</v>
      </c>
      <c r="AK4" s="277" t="s">
        <v>212</v>
      </c>
      <c r="AL4" s="277" t="s">
        <v>211</v>
      </c>
      <c r="AM4" s="277" t="s">
        <v>212</v>
      </c>
      <c r="AN4" s="277" t="s">
        <v>211</v>
      </c>
      <c r="AO4" s="277" t="s">
        <v>212</v>
      </c>
      <c r="AP4" s="277" t="s">
        <v>211</v>
      </c>
      <c r="AQ4" s="277" t="s">
        <v>212</v>
      </c>
      <c r="AR4" s="277" t="s">
        <v>211</v>
      </c>
      <c r="AS4" s="277" t="s">
        <v>211</v>
      </c>
      <c r="AT4" s="277" t="s">
        <v>211</v>
      </c>
      <c r="AU4" s="277" t="s">
        <v>211</v>
      </c>
      <c r="AV4" s="277" t="s">
        <v>212</v>
      </c>
      <c r="AW4" s="277" t="s">
        <v>211</v>
      </c>
      <c r="AX4" s="277" t="s">
        <v>212</v>
      </c>
      <c r="AY4" s="277" t="s">
        <v>211</v>
      </c>
      <c r="AZ4" s="277" t="s">
        <v>212</v>
      </c>
      <c r="BA4" s="282" t="s">
        <v>211</v>
      </c>
      <c r="BB4" s="282" t="s">
        <v>212</v>
      </c>
      <c r="BC4" s="282" t="s">
        <v>211</v>
      </c>
      <c r="BD4" s="282" t="s">
        <v>212</v>
      </c>
      <c r="BE4" s="282" t="s">
        <v>211</v>
      </c>
      <c r="BF4" s="282" t="s">
        <v>212</v>
      </c>
      <c r="BG4" s="282" t="s">
        <v>211</v>
      </c>
      <c r="BH4" s="282" t="s">
        <v>212</v>
      </c>
      <c r="BI4" s="282" t="s">
        <v>211</v>
      </c>
      <c r="BJ4" s="282" t="s">
        <v>211</v>
      </c>
      <c r="BK4" s="282" t="s">
        <v>211</v>
      </c>
      <c r="BL4" s="282" t="s">
        <v>211</v>
      </c>
      <c r="BM4" s="282" t="s">
        <v>212</v>
      </c>
      <c r="BN4" s="282" t="s">
        <v>211</v>
      </c>
      <c r="BO4" s="282" t="s">
        <v>212</v>
      </c>
      <c r="BP4" s="282" t="s">
        <v>211</v>
      </c>
      <c r="BQ4" s="282" t="s">
        <v>212</v>
      </c>
      <c r="BR4" s="282" t="s">
        <v>211</v>
      </c>
      <c r="BS4" s="282" t="s">
        <v>212</v>
      </c>
      <c r="BT4" s="282" t="s">
        <v>211</v>
      </c>
      <c r="BU4" s="282" t="s">
        <v>212</v>
      </c>
      <c r="BV4" s="282" t="s">
        <v>211</v>
      </c>
      <c r="BW4" s="282" t="s">
        <v>212</v>
      </c>
      <c r="BX4" s="282" t="s">
        <v>211</v>
      </c>
      <c r="BY4" s="282" t="s">
        <v>212</v>
      </c>
      <c r="BZ4" s="282" t="s">
        <v>211</v>
      </c>
      <c r="CA4" s="282" t="s">
        <v>211</v>
      </c>
      <c r="CB4" s="282" t="s">
        <v>211</v>
      </c>
      <c r="CC4" s="282" t="s">
        <v>211</v>
      </c>
      <c r="CD4" s="282" t="s">
        <v>212</v>
      </c>
      <c r="CE4" s="282" t="s">
        <v>211</v>
      </c>
      <c r="CF4" s="282" t="s">
        <v>212</v>
      </c>
      <c r="CG4" s="282" t="s">
        <v>211</v>
      </c>
      <c r="CH4" s="282" t="s">
        <v>212</v>
      </c>
      <c r="CI4" s="282" t="s">
        <v>211</v>
      </c>
      <c r="CJ4" s="282" t="s">
        <v>212</v>
      </c>
      <c r="CK4" s="282" t="s">
        <v>211</v>
      </c>
      <c r="CL4" s="282" t="s">
        <v>212</v>
      </c>
      <c r="CM4" s="282" t="s">
        <v>211</v>
      </c>
      <c r="CN4" s="282" t="s">
        <v>212</v>
      </c>
      <c r="CO4" s="282" t="s">
        <v>211</v>
      </c>
      <c r="CP4" s="282" t="s">
        <v>212</v>
      </c>
      <c r="CQ4" s="282" t="s">
        <v>211</v>
      </c>
      <c r="CR4" s="282" t="s">
        <v>211</v>
      </c>
      <c r="CS4" s="282" t="s">
        <v>211</v>
      </c>
      <c r="CT4" s="282" t="s">
        <v>211</v>
      </c>
      <c r="CU4" s="282" t="s">
        <v>212</v>
      </c>
      <c r="CV4" s="282" t="s">
        <v>211</v>
      </c>
      <c r="CW4" s="282" t="s">
        <v>212</v>
      </c>
      <c r="CX4" s="282" t="s">
        <v>211</v>
      </c>
      <c r="CY4" s="282" t="s">
        <v>212</v>
      </c>
    </row>
    <row r="5" spans="1:110" x14ac:dyDescent="0.3">
      <c r="A5" s="181" t="s">
        <v>226</v>
      </c>
      <c r="B5" s="279" t="s">
        <v>228</v>
      </c>
      <c r="C5" s="279" t="s">
        <v>227</v>
      </c>
      <c r="D5" s="279" t="s">
        <v>227</v>
      </c>
      <c r="E5" s="279" t="s">
        <v>227</v>
      </c>
      <c r="F5" s="279" t="s">
        <v>227</v>
      </c>
      <c r="G5" s="279" t="s">
        <v>227</v>
      </c>
      <c r="H5" s="279" t="s">
        <v>227</v>
      </c>
      <c r="I5" s="279" t="s">
        <v>227</v>
      </c>
      <c r="J5" s="279" t="s">
        <v>227</v>
      </c>
      <c r="K5" s="279" t="s">
        <v>227</v>
      </c>
      <c r="L5" s="279" t="s">
        <v>227</v>
      </c>
      <c r="M5" s="279" t="s">
        <v>227</v>
      </c>
      <c r="N5" s="279" t="s">
        <v>227</v>
      </c>
      <c r="O5" s="279" t="s">
        <v>227</v>
      </c>
      <c r="P5" s="279" t="s">
        <v>227</v>
      </c>
      <c r="Q5" s="279" t="s">
        <v>227</v>
      </c>
      <c r="R5" s="279" t="s">
        <v>227</v>
      </c>
      <c r="S5" s="279" t="s">
        <v>227</v>
      </c>
      <c r="T5" s="279" t="s">
        <v>227</v>
      </c>
      <c r="U5" s="279" t="s">
        <v>227</v>
      </c>
      <c r="V5" s="279" t="s">
        <v>227</v>
      </c>
      <c r="W5" s="279" t="s">
        <v>227</v>
      </c>
      <c r="X5" s="279" t="s">
        <v>227</v>
      </c>
      <c r="Y5" s="279" t="s">
        <v>227</v>
      </c>
      <c r="Z5" s="279" t="s">
        <v>227</v>
      </c>
      <c r="AA5" s="279" t="s">
        <v>227</v>
      </c>
      <c r="AB5" s="279" t="s">
        <v>227</v>
      </c>
      <c r="AC5" s="279" t="s">
        <v>227</v>
      </c>
      <c r="AD5" s="279" t="s">
        <v>227</v>
      </c>
      <c r="AE5" s="279" t="s">
        <v>227</v>
      </c>
      <c r="AF5" s="279" t="s">
        <v>227</v>
      </c>
      <c r="AG5" s="279" t="s">
        <v>227</v>
      </c>
      <c r="AH5" s="279" t="s">
        <v>227</v>
      </c>
      <c r="AI5" s="279" t="s">
        <v>227</v>
      </c>
      <c r="AJ5" s="279" t="s">
        <v>227</v>
      </c>
      <c r="AK5" s="279" t="s">
        <v>227</v>
      </c>
      <c r="AL5" s="279" t="s">
        <v>227</v>
      </c>
      <c r="AM5" s="279" t="s">
        <v>227</v>
      </c>
      <c r="AN5" s="279" t="s">
        <v>227</v>
      </c>
      <c r="AO5" s="279" t="s">
        <v>227</v>
      </c>
      <c r="AP5" s="279" t="s">
        <v>227</v>
      </c>
      <c r="AQ5" s="279" t="s">
        <v>227</v>
      </c>
      <c r="AR5" s="279" t="s">
        <v>227</v>
      </c>
      <c r="AS5" s="279" t="s">
        <v>227</v>
      </c>
      <c r="AT5" s="279" t="s">
        <v>227</v>
      </c>
      <c r="AU5" s="279" t="s">
        <v>227</v>
      </c>
      <c r="AV5" s="279" t="s">
        <v>227</v>
      </c>
      <c r="AW5" s="279" t="s">
        <v>227</v>
      </c>
      <c r="AX5" s="279" t="s">
        <v>227</v>
      </c>
      <c r="AY5" s="280" t="s">
        <v>227</v>
      </c>
      <c r="AZ5" s="280" t="s">
        <v>227</v>
      </c>
      <c r="BA5" s="281" t="s">
        <v>227</v>
      </c>
      <c r="BB5" s="281" t="s">
        <v>227</v>
      </c>
      <c r="BC5" s="281" t="s">
        <v>227</v>
      </c>
      <c r="BD5" s="281" t="s">
        <v>227</v>
      </c>
      <c r="BE5" s="281" t="s">
        <v>227</v>
      </c>
      <c r="BF5" s="281" t="s">
        <v>227</v>
      </c>
      <c r="BG5" s="281" t="s">
        <v>227</v>
      </c>
      <c r="BH5" s="281" t="s">
        <v>227</v>
      </c>
      <c r="BI5" s="281" t="s">
        <v>227</v>
      </c>
      <c r="BJ5" s="281" t="s">
        <v>227</v>
      </c>
      <c r="BK5" s="281" t="s">
        <v>227</v>
      </c>
      <c r="BL5" s="281" t="s">
        <v>227</v>
      </c>
      <c r="BM5" s="281" t="s">
        <v>227</v>
      </c>
      <c r="BN5" s="281" t="s">
        <v>227</v>
      </c>
      <c r="BO5" s="281" t="s">
        <v>227</v>
      </c>
      <c r="BP5" s="281" t="s">
        <v>227</v>
      </c>
      <c r="BQ5" s="281" t="s">
        <v>227</v>
      </c>
      <c r="BR5" s="281" t="s">
        <v>227</v>
      </c>
      <c r="BS5" s="281" t="s">
        <v>227</v>
      </c>
      <c r="BT5" s="281" t="s">
        <v>227</v>
      </c>
      <c r="BU5" s="281" t="s">
        <v>227</v>
      </c>
      <c r="BV5" s="281" t="s">
        <v>227</v>
      </c>
      <c r="BW5" s="281" t="s">
        <v>227</v>
      </c>
      <c r="BX5" s="281" t="s">
        <v>227</v>
      </c>
      <c r="BY5" s="281" t="s">
        <v>227</v>
      </c>
      <c r="BZ5" s="281" t="s">
        <v>227</v>
      </c>
      <c r="CA5" s="281" t="s">
        <v>227</v>
      </c>
      <c r="CB5" s="281" t="s">
        <v>227</v>
      </c>
      <c r="CC5" s="281" t="s">
        <v>227</v>
      </c>
      <c r="CD5" s="281" t="s">
        <v>227</v>
      </c>
      <c r="CE5" s="281" t="s">
        <v>227</v>
      </c>
      <c r="CF5" s="281" t="s">
        <v>227</v>
      </c>
      <c r="CG5" s="281" t="s">
        <v>227</v>
      </c>
      <c r="CH5" s="281" t="s">
        <v>227</v>
      </c>
      <c r="CI5" s="281" t="s">
        <v>227</v>
      </c>
      <c r="CJ5" s="281" t="s">
        <v>227</v>
      </c>
      <c r="CK5" s="281" t="s">
        <v>227</v>
      </c>
      <c r="CL5" s="281" t="s">
        <v>227</v>
      </c>
      <c r="CM5" s="281" t="s">
        <v>227</v>
      </c>
      <c r="CN5" s="281" t="s">
        <v>227</v>
      </c>
      <c r="CO5" s="281" t="s">
        <v>227</v>
      </c>
      <c r="CP5" s="281" t="s">
        <v>227</v>
      </c>
      <c r="CQ5" s="281" t="s">
        <v>227</v>
      </c>
      <c r="CR5" s="281" t="s">
        <v>227</v>
      </c>
      <c r="CS5" s="281" t="s">
        <v>227</v>
      </c>
      <c r="CT5" s="281" t="s">
        <v>227</v>
      </c>
      <c r="CU5" s="281" t="s">
        <v>227</v>
      </c>
      <c r="CV5" s="281" t="s">
        <v>227</v>
      </c>
      <c r="CW5" s="281" t="s">
        <v>227</v>
      </c>
      <c r="CX5" s="281" t="s">
        <v>227</v>
      </c>
      <c r="CY5" s="281" t="s">
        <v>227</v>
      </c>
    </row>
    <row r="6" spans="1:110" x14ac:dyDescent="0.3">
      <c r="A6" s="181" t="s">
        <v>166</v>
      </c>
      <c r="B6" s="283">
        <v>94</v>
      </c>
      <c r="C6" s="283">
        <v>42</v>
      </c>
      <c r="D6" s="283">
        <v>125</v>
      </c>
      <c r="E6" s="283">
        <v>44</v>
      </c>
      <c r="F6" s="283">
        <v>117</v>
      </c>
      <c r="G6" s="283">
        <v>40</v>
      </c>
      <c r="H6" s="283">
        <v>102</v>
      </c>
      <c r="I6" s="283">
        <v>47</v>
      </c>
      <c r="J6" s="283">
        <v>94</v>
      </c>
      <c r="K6" s="283">
        <v>61</v>
      </c>
      <c r="L6" s="283">
        <v>121</v>
      </c>
      <c r="M6" s="283">
        <v>77</v>
      </c>
      <c r="N6" s="283">
        <v>33</v>
      </c>
      <c r="O6" s="283">
        <v>127</v>
      </c>
      <c r="P6" s="283">
        <v>38</v>
      </c>
      <c r="Q6" s="284">
        <v>0</v>
      </c>
      <c r="R6" s="284">
        <v>0</v>
      </c>
      <c r="S6" s="283">
        <v>94</v>
      </c>
      <c r="T6" s="283">
        <v>47</v>
      </c>
      <c r="U6" s="283">
        <v>139</v>
      </c>
      <c r="V6" s="283">
        <v>51</v>
      </c>
      <c r="W6" s="283">
        <v>101</v>
      </c>
      <c r="X6" s="283">
        <v>45</v>
      </c>
      <c r="Y6" s="283">
        <v>112</v>
      </c>
      <c r="Z6" s="283">
        <v>41</v>
      </c>
      <c r="AA6" s="283">
        <v>103</v>
      </c>
      <c r="AB6" s="283">
        <v>63</v>
      </c>
      <c r="AC6" s="283">
        <v>121</v>
      </c>
      <c r="AD6" s="283">
        <v>84</v>
      </c>
      <c r="AE6" s="283">
        <v>33</v>
      </c>
      <c r="AF6" s="283">
        <v>133</v>
      </c>
      <c r="AG6" s="283">
        <v>46</v>
      </c>
      <c r="AH6" s="284">
        <v>0</v>
      </c>
      <c r="AI6" s="284">
        <v>0</v>
      </c>
      <c r="AJ6" s="283">
        <v>87</v>
      </c>
      <c r="AK6" s="283">
        <v>42</v>
      </c>
      <c r="AL6" s="283">
        <v>117</v>
      </c>
      <c r="AM6" s="283">
        <v>45</v>
      </c>
      <c r="AN6" s="283">
        <v>101</v>
      </c>
      <c r="AO6" s="283">
        <v>38</v>
      </c>
      <c r="AP6" s="283">
        <v>116</v>
      </c>
      <c r="AQ6" s="283">
        <v>42</v>
      </c>
      <c r="AR6" s="283">
        <v>98</v>
      </c>
      <c r="AS6" s="283">
        <v>63</v>
      </c>
      <c r="AT6" s="283">
        <v>117</v>
      </c>
      <c r="AU6" s="283">
        <v>79</v>
      </c>
      <c r="AV6" s="283">
        <v>37</v>
      </c>
      <c r="AW6" s="283">
        <v>118</v>
      </c>
      <c r="AX6" s="283">
        <v>41</v>
      </c>
      <c r="AY6" s="284">
        <v>0</v>
      </c>
      <c r="AZ6" s="284">
        <v>0</v>
      </c>
      <c r="BA6" s="287">
        <v>12</v>
      </c>
      <c r="BB6" s="287">
        <v>5</v>
      </c>
      <c r="BC6" s="287">
        <v>15</v>
      </c>
      <c r="BD6" s="287">
        <v>5</v>
      </c>
      <c r="BE6" s="287">
        <v>15</v>
      </c>
      <c r="BF6" s="287">
        <v>5</v>
      </c>
      <c r="BG6" s="287">
        <v>13</v>
      </c>
      <c r="BH6" s="287">
        <v>6</v>
      </c>
      <c r="BI6" s="287">
        <v>12</v>
      </c>
      <c r="BJ6" s="287">
        <v>8</v>
      </c>
      <c r="BK6" s="287">
        <v>15</v>
      </c>
      <c r="BL6" s="287">
        <v>10</v>
      </c>
      <c r="BM6" s="287">
        <v>4</v>
      </c>
      <c r="BN6" s="287">
        <v>16</v>
      </c>
      <c r="BO6" s="287">
        <v>5</v>
      </c>
      <c r="BP6" s="282">
        <v>0</v>
      </c>
      <c r="BQ6" s="282">
        <v>0</v>
      </c>
      <c r="BR6" s="287">
        <v>12</v>
      </c>
      <c r="BS6" s="287">
        <v>6</v>
      </c>
      <c r="BT6" s="287">
        <v>17</v>
      </c>
      <c r="BU6" s="287">
        <v>6</v>
      </c>
      <c r="BV6" s="287">
        <v>13</v>
      </c>
      <c r="BW6" s="287">
        <v>6</v>
      </c>
      <c r="BX6" s="287">
        <v>14</v>
      </c>
      <c r="BY6" s="287">
        <v>5</v>
      </c>
      <c r="BZ6" s="287">
        <v>13</v>
      </c>
      <c r="CA6" s="287">
        <v>8</v>
      </c>
      <c r="CB6" s="287">
        <v>15</v>
      </c>
      <c r="CC6" s="287">
        <v>10</v>
      </c>
      <c r="CD6" s="287">
        <v>4</v>
      </c>
      <c r="CE6" s="287">
        <v>17</v>
      </c>
      <c r="CF6" s="287">
        <v>6</v>
      </c>
      <c r="CG6" s="282">
        <v>0</v>
      </c>
      <c r="CH6" s="282">
        <v>0</v>
      </c>
      <c r="CI6" s="287">
        <v>11</v>
      </c>
      <c r="CJ6" s="287">
        <v>5</v>
      </c>
      <c r="CK6" s="287">
        <v>15</v>
      </c>
      <c r="CL6" s="287">
        <v>6</v>
      </c>
      <c r="CM6" s="287">
        <v>13</v>
      </c>
      <c r="CN6" s="287">
        <v>5</v>
      </c>
      <c r="CO6" s="287">
        <v>14</v>
      </c>
      <c r="CP6" s="287">
        <v>5</v>
      </c>
      <c r="CQ6" s="287">
        <v>12</v>
      </c>
      <c r="CR6" s="287">
        <v>8</v>
      </c>
      <c r="CS6" s="287">
        <v>15</v>
      </c>
      <c r="CT6" s="287">
        <v>10</v>
      </c>
      <c r="CU6" s="287">
        <v>4</v>
      </c>
      <c r="CV6" s="287">
        <v>15</v>
      </c>
      <c r="CW6" s="287">
        <v>5</v>
      </c>
      <c r="CX6" s="282">
        <v>0</v>
      </c>
      <c r="CY6" s="282">
        <v>0</v>
      </c>
    </row>
    <row r="7" spans="1:110" x14ac:dyDescent="0.3">
      <c r="A7" s="181" t="s">
        <v>129</v>
      </c>
      <c r="B7" s="283">
        <v>90</v>
      </c>
      <c r="C7" s="283">
        <v>47</v>
      </c>
      <c r="D7" s="283">
        <v>124</v>
      </c>
      <c r="E7" s="283">
        <v>42</v>
      </c>
      <c r="F7" s="283">
        <v>100</v>
      </c>
      <c r="G7" s="283">
        <v>44</v>
      </c>
      <c r="H7" s="283">
        <v>98</v>
      </c>
      <c r="I7" s="283">
        <v>39</v>
      </c>
      <c r="J7" s="283">
        <v>112</v>
      </c>
      <c r="K7" s="283">
        <v>59</v>
      </c>
      <c r="L7" s="283">
        <v>107</v>
      </c>
      <c r="M7" s="284">
        <v>0</v>
      </c>
      <c r="N7" s="284">
        <v>0</v>
      </c>
      <c r="O7" s="283">
        <v>141</v>
      </c>
      <c r="P7" s="283">
        <v>50</v>
      </c>
      <c r="Q7" s="284">
        <v>0</v>
      </c>
      <c r="R7" s="284">
        <v>0</v>
      </c>
      <c r="S7" s="283">
        <v>100</v>
      </c>
      <c r="T7" s="283">
        <v>54</v>
      </c>
      <c r="U7" s="283">
        <v>124</v>
      </c>
      <c r="V7" s="283">
        <v>42</v>
      </c>
      <c r="W7" s="283">
        <v>117</v>
      </c>
      <c r="X7" s="283">
        <v>41</v>
      </c>
      <c r="Y7" s="283">
        <v>101</v>
      </c>
      <c r="Z7" s="283">
        <v>48</v>
      </c>
      <c r="AA7" s="283">
        <v>115</v>
      </c>
      <c r="AB7" s="283">
        <v>65</v>
      </c>
      <c r="AC7" s="283">
        <v>131</v>
      </c>
      <c r="AD7" s="284">
        <v>0</v>
      </c>
      <c r="AE7" s="284">
        <v>0</v>
      </c>
      <c r="AF7" s="283">
        <v>131</v>
      </c>
      <c r="AG7" s="283">
        <v>44</v>
      </c>
      <c r="AH7" s="284">
        <v>0</v>
      </c>
      <c r="AI7" s="284">
        <v>0</v>
      </c>
      <c r="AJ7" s="283">
        <v>93</v>
      </c>
      <c r="AK7" s="283">
        <v>49</v>
      </c>
      <c r="AL7" s="283">
        <v>109</v>
      </c>
      <c r="AM7" s="283">
        <v>30</v>
      </c>
      <c r="AN7" s="283">
        <v>114</v>
      </c>
      <c r="AO7" s="283">
        <v>40</v>
      </c>
      <c r="AP7" s="283">
        <v>107</v>
      </c>
      <c r="AQ7" s="283">
        <v>42</v>
      </c>
      <c r="AR7" s="283">
        <v>128</v>
      </c>
      <c r="AS7" s="283">
        <v>68</v>
      </c>
      <c r="AT7" s="283">
        <v>114</v>
      </c>
      <c r="AU7" s="284">
        <v>0</v>
      </c>
      <c r="AV7" s="284">
        <v>0</v>
      </c>
      <c r="AW7" s="283">
        <v>148</v>
      </c>
      <c r="AX7" s="283">
        <v>30</v>
      </c>
      <c r="AY7" s="284">
        <v>0</v>
      </c>
      <c r="AZ7" s="284">
        <v>0</v>
      </c>
      <c r="BA7" s="287">
        <v>11</v>
      </c>
      <c r="BB7" s="287">
        <v>6</v>
      </c>
      <c r="BC7" s="287">
        <v>15</v>
      </c>
      <c r="BD7" s="287">
        <v>5</v>
      </c>
      <c r="BE7" s="287">
        <v>12</v>
      </c>
      <c r="BF7" s="287">
        <v>5</v>
      </c>
      <c r="BG7" s="287">
        <v>12</v>
      </c>
      <c r="BH7" s="287">
        <v>5</v>
      </c>
      <c r="BI7" s="287">
        <v>14</v>
      </c>
      <c r="BJ7" s="287">
        <v>7</v>
      </c>
      <c r="BK7" s="287">
        <v>13</v>
      </c>
      <c r="BL7" s="282">
        <v>0</v>
      </c>
      <c r="BM7" s="282">
        <v>0</v>
      </c>
      <c r="BN7" s="287">
        <v>17</v>
      </c>
      <c r="BO7" s="287">
        <v>6</v>
      </c>
      <c r="BP7" s="282">
        <v>0</v>
      </c>
      <c r="BQ7" s="282">
        <v>0</v>
      </c>
      <c r="BR7" s="287">
        <v>12</v>
      </c>
      <c r="BS7" s="287">
        <v>7</v>
      </c>
      <c r="BT7" s="287">
        <v>15</v>
      </c>
      <c r="BU7" s="287">
        <v>5</v>
      </c>
      <c r="BV7" s="287">
        <v>14</v>
      </c>
      <c r="BW7" s="287">
        <v>5</v>
      </c>
      <c r="BX7" s="287">
        <v>13</v>
      </c>
      <c r="BY7" s="287">
        <v>6</v>
      </c>
      <c r="BZ7" s="287">
        <v>14</v>
      </c>
      <c r="CA7" s="287">
        <v>8</v>
      </c>
      <c r="CB7" s="287">
        <v>16</v>
      </c>
      <c r="CC7" s="282">
        <v>0</v>
      </c>
      <c r="CD7" s="282">
        <v>0</v>
      </c>
      <c r="CE7" s="287">
        <v>16</v>
      </c>
      <c r="CF7" s="287">
        <v>5</v>
      </c>
      <c r="CG7" s="282">
        <v>0</v>
      </c>
      <c r="CH7" s="282">
        <v>0</v>
      </c>
      <c r="CI7" s="287">
        <v>11</v>
      </c>
      <c r="CJ7" s="287">
        <v>6</v>
      </c>
      <c r="CK7" s="287">
        <v>13</v>
      </c>
      <c r="CL7" s="287">
        <v>4</v>
      </c>
      <c r="CM7" s="287">
        <v>14</v>
      </c>
      <c r="CN7" s="287">
        <v>5</v>
      </c>
      <c r="CO7" s="287">
        <v>13</v>
      </c>
      <c r="CP7" s="287">
        <v>5</v>
      </c>
      <c r="CQ7" s="287">
        <v>16</v>
      </c>
      <c r="CR7" s="287">
        <v>9</v>
      </c>
      <c r="CS7" s="287">
        <v>14</v>
      </c>
      <c r="CT7" s="282">
        <v>0</v>
      </c>
      <c r="CU7" s="282">
        <v>0</v>
      </c>
      <c r="CV7" s="287">
        <v>18</v>
      </c>
      <c r="CW7" s="287">
        <v>4</v>
      </c>
      <c r="CX7" s="282">
        <v>0</v>
      </c>
      <c r="CY7" s="282">
        <v>0</v>
      </c>
    </row>
    <row r="8" spans="1:110" x14ac:dyDescent="0.3">
      <c r="A8" s="181" t="s">
        <v>130</v>
      </c>
      <c r="B8" s="283">
        <v>105</v>
      </c>
      <c r="C8" s="283">
        <v>61</v>
      </c>
      <c r="D8" s="283">
        <v>157</v>
      </c>
      <c r="E8" s="283">
        <v>42</v>
      </c>
      <c r="F8" s="283">
        <v>147</v>
      </c>
      <c r="G8" s="283">
        <v>54</v>
      </c>
      <c r="H8" s="283">
        <v>102</v>
      </c>
      <c r="I8" s="283">
        <v>46</v>
      </c>
      <c r="J8" s="283">
        <v>113</v>
      </c>
      <c r="K8" s="283">
        <v>67</v>
      </c>
      <c r="L8" s="284">
        <v>0</v>
      </c>
      <c r="M8" s="283">
        <v>92</v>
      </c>
      <c r="N8" s="283">
        <v>36</v>
      </c>
      <c r="O8" s="283">
        <v>104</v>
      </c>
      <c r="P8" s="283">
        <v>30</v>
      </c>
      <c r="Q8" s="284">
        <v>0</v>
      </c>
      <c r="R8" s="284">
        <v>0</v>
      </c>
      <c r="S8" s="283">
        <v>93</v>
      </c>
      <c r="T8" s="283">
        <v>53</v>
      </c>
      <c r="U8" s="283">
        <v>144</v>
      </c>
      <c r="V8" s="283">
        <v>43</v>
      </c>
      <c r="W8" s="283">
        <v>152</v>
      </c>
      <c r="X8" s="283">
        <v>52</v>
      </c>
      <c r="Y8" s="283">
        <v>102</v>
      </c>
      <c r="Z8" s="283">
        <v>40</v>
      </c>
      <c r="AA8" s="283">
        <v>123</v>
      </c>
      <c r="AB8" s="283">
        <v>69</v>
      </c>
      <c r="AC8" s="284">
        <v>0</v>
      </c>
      <c r="AD8" s="283">
        <v>93</v>
      </c>
      <c r="AE8" s="283">
        <v>40</v>
      </c>
      <c r="AF8" s="283">
        <v>158</v>
      </c>
      <c r="AG8" s="283">
        <v>39</v>
      </c>
      <c r="AH8" s="284">
        <v>0</v>
      </c>
      <c r="AI8" s="284">
        <v>0</v>
      </c>
      <c r="AJ8" s="283">
        <v>115</v>
      </c>
      <c r="AK8" s="283">
        <v>53</v>
      </c>
      <c r="AL8" s="283">
        <v>117</v>
      </c>
      <c r="AM8" s="283">
        <v>39</v>
      </c>
      <c r="AN8" s="283">
        <v>143</v>
      </c>
      <c r="AO8" s="283">
        <v>57</v>
      </c>
      <c r="AP8" s="283">
        <v>125</v>
      </c>
      <c r="AQ8" s="283">
        <v>48</v>
      </c>
      <c r="AR8" s="283">
        <v>105</v>
      </c>
      <c r="AS8" s="283">
        <v>60</v>
      </c>
      <c r="AT8" s="284">
        <v>0</v>
      </c>
      <c r="AU8" s="283">
        <v>91</v>
      </c>
      <c r="AV8" s="283">
        <v>36</v>
      </c>
      <c r="AW8" s="283">
        <v>141</v>
      </c>
      <c r="AX8" s="283">
        <v>51</v>
      </c>
      <c r="AY8" s="284">
        <v>0</v>
      </c>
      <c r="AZ8" s="284">
        <v>0</v>
      </c>
      <c r="BA8" s="287">
        <v>13</v>
      </c>
      <c r="BB8" s="287">
        <v>7</v>
      </c>
      <c r="BC8" s="287">
        <v>19</v>
      </c>
      <c r="BD8" s="287">
        <v>5</v>
      </c>
      <c r="BE8" s="287">
        <v>18</v>
      </c>
      <c r="BF8" s="287">
        <v>7</v>
      </c>
      <c r="BG8" s="287">
        <v>13</v>
      </c>
      <c r="BH8" s="287">
        <v>6</v>
      </c>
      <c r="BI8" s="287">
        <v>14</v>
      </c>
      <c r="BJ8" s="287">
        <v>8</v>
      </c>
      <c r="BK8" s="282">
        <v>0</v>
      </c>
      <c r="BL8" s="287">
        <v>11</v>
      </c>
      <c r="BM8" s="287">
        <v>5</v>
      </c>
      <c r="BN8" s="287">
        <v>13</v>
      </c>
      <c r="BO8" s="287">
        <v>4</v>
      </c>
      <c r="BP8" s="282">
        <v>0</v>
      </c>
      <c r="BQ8" s="282">
        <v>0</v>
      </c>
      <c r="BR8" s="287">
        <v>12</v>
      </c>
      <c r="BS8" s="287">
        <v>7</v>
      </c>
      <c r="BT8" s="287">
        <v>18</v>
      </c>
      <c r="BU8" s="287">
        <v>5</v>
      </c>
      <c r="BV8" s="287">
        <v>19</v>
      </c>
      <c r="BW8" s="287">
        <v>7</v>
      </c>
      <c r="BX8" s="287">
        <v>13</v>
      </c>
      <c r="BY8" s="287">
        <v>5</v>
      </c>
      <c r="BZ8" s="287">
        <v>15</v>
      </c>
      <c r="CA8" s="287">
        <v>8</v>
      </c>
      <c r="CB8" s="282">
        <v>0</v>
      </c>
      <c r="CC8" s="287">
        <v>12</v>
      </c>
      <c r="CD8" s="287">
        <v>5</v>
      </c>
      <c r="CE8" s="287">
        <v>19</v>
      </c>
      <c r="CF8" s="287">
        <v>5</v>
      </c>
      <c r="CG8" s="282">
        <v>0</v>
      </c>
      <c r="CH8" s="282">
        <v>0</v>
      </c>
      <c r="CI8" s="287">
        <v>14</v>
      </c>
      <c r="CJ8" s="287">
        <v>7</v>
      </c>
      <c r="CK8" s="287">
        <v>14</v>
      </c>
      <c r="CL8" s="287">
        <v>5</v>
      </c>
      <c r="CM8" s="287">
        <v>18</v>
      </c>
      <c r="CN8" s="287">
        <v>7</v>
      </c>
      <c r="CO8" s="287">
        <v>15</v>
      </c>
      <c r="CP8" s="287">
        <v>6</v>
      </c>
      <c r="CQ8" s="287">
        <v>13</v>
      </c>
      <c r="CR8" s="287">
        <v>7</v>
      </c>
      <c r="CS8" s="282">
        <v>0</v>
      </c>
      <c r="CT8" s="287">
        <v>11</v>
      </c>
      <c r="CU8" s="287">
        <v>4</v>
      </c>
      <c r="CV8" s="287">
        <v>18</v>
      </c>
      <c r="CW8" s="287">
        <v>6</v>
      </c>
      <c r="CX8" s="282">
        <v>0</v>
      </c>
      <c r="CY8" s="282">
        <v>0</v>
      </c>
    </row>
    <row r="9" spans="1:110" x14ac:dyDescent="0.3">
      <c r="A9" s="181" t="s">
        <v>229</v>
      </c>
      <c r="B9" s="284">
        <v>0</v>
      </c>
      <c r="C9" s="284">
        <v>0</v>
      </c>
      <c r="D9" s="284">
        <v>0</v>
      </c>
      <c r="E9" s="284">
        <v>0</v>
      </c>
      <c r="F9" s="284">
        <v>0</v>
      </c>
      <c r="G9" s="284">
        <v>0</v>
      </c>
      <c r="H9" s="284">
        <v>0</v>
      </c>
      <c r="I9" s="284">
        <v>0</v>
      </c>
      <c r="J9" s="284">
        <v>0</v>
      </c>
      <c r="K9" s="284">
        <v>0</v>
      </c>
      <c r="L9" s="284">
        <v>0</v>
      </c>
      <c r="M9" s="283">
        <v>85</v>
      </c>
      <c r="N9" s="283">
        <v>38</v>
      </c>
      <c r="O9" s="284">
        <v>0</v>
      </c>
      <c r="P9" s="284">
        <v>0</v>
      </c>
      <c r="Q9" s="284">
        <v>0</v>
      </c>
      <c r="R9" s="284">
        <v>0</v>
      </c>
      <c r="S9" s="284">
        <v>0</v>
      </c>
      <c r="T9" s="284">
        <v>0</v>
      </c>
      <c r="U9" s="284">
        <v>0</v>
      </c>
      <c r="V9" s="284">
        <v>0</v>
      </c>
      <c r="W9" s="284">
        <v>0</v>
      </c>
      <c r="X9" s="284">
        <v>0</v>
      </c>
      <c r="Y9" s="284">
        <v>0</v>
      </c>
      <c r="Z9" s="284">
        <v>0</v>
      </c>
      <c r="AA9" s="284">
        <v>0</v>
      </c>
      <c r="AB9" s="284">
        <v>0</v>
      </c>
      <c r="AC9" s="284">
        <v>0</v>
      </c>
      <c r="AD9" s="283">
        <v>89</v>
      </c>
      <c r="AE9" s="283">
        <v>36</v>
      </c>
      <c r="AF9" s="284">
        <v>0</v>
      </c>
      <c r="AG9" s="284">
        <v>0</v>
      </c>
      <c r="AH9" s="284">
        <v>0</v>
      </c>
      <c r="AI9" s="284">
        <v>0</v>
      </c>
      <c r="AJ9" s="284">
        <v>0</v>
      </c>
      <c r="AK9" s="284">
        <v>0</v>
      </c>
      <c r="AL9" s="284">
        <v>0</v>
      </c>
      <c r="AM9" s="284">
        <v>0</v>
      </c>
      <c r="AN9" s="284">
        <v>0</v>
      </c>
      <c r="AO9" s="284">
        <v>0</v>
      </c>
      <c r="AP9" s="284">
        <v>0</v>
      </c>
      <c r="AQ9" s="284">
        <v>0</v>
      </c>
      <c r="AR9" s="284">
        <v>0</v>
      </c>
      <c r="AS9" s="284">
        <v>0</v>
      </c>
      <c r="AT9" s="284">
        <v>0</v>
      </c>
      <c r="AU9" s="283">
        <v>91</v>
      </c>
      <c r="AV9" s="283">
        <v>40</v>
      </c>
      <c r="AW9" s="284">
        <v>0</v>
      </c>
      <c r="AX9" s="284">
        <v>0</v>
      </c>
      <c r="AY9" s="284">
        <v>0</v>
      </c>
      <c r="AZ9" s="284">
        <v>0</v>
      </c>
      <c r="BA9" s="282">
        <v>0</v>
      </c>
      <c r="BB9" s="282">
        <v>0</v>
      </c>
      <c r="BC9" s="282">
        <v>0</v>
      </c>
      <c r="BD9" s="282">
        <v>0</v>
      </c>
      <c r="BE9" s="282">
        <v>0</v>
      </c>
      <c r="BF9" s="282">
        <v>0</v>
      </c>
      <c r="BG9" s="282">
        <v>0</v>
      </c>
      <c r="BH9" s="282">
        <v>0</v>
      </c>
      <c r="BI9" s="282">
        <v>0</v>
      </c>
      <c r="BJ9" s="282">
        <v>0</v>
      </c>
      <c r="BK9" s="282">
        <v>0</v>
      </c>
      <c r="BL9" s="287">
        <v>11</v>
      </c>
      <c r="BM9" s="287">
        <v>5</v>
      </c>
      <c r="BN9" s="282">
        <v>0</v>
      </c>
      <c r="BO9" s="282">
        <v>0</v>
      </c>
      <c r="BP9" s="282">
        <v>0</v>
      </c>
      <c r="BQ9" s="282">
        <v>0</v>
      </c>
      <c r="BR9" s="282">
        <v>0</v>
      </c>
      <c r="BS9" s="282">
        <v>0</v>
      </c>
      <c r="BT9" s="282">
        <v>0</v>
      </c>
      <c r="BU9" s="282">
        <v>0</v>
      </c>
      <c r="BV9" s="282">
        <v>0</v>
      </c>
      <c r="BW9" s="282">
        <v>0</v>
      </c>
      <c r="BX9" s="282">
        <v>0</v>
      </c>
      <c r="BY9" s="282">
        <v>0</v>
      </c>
      <c r="BZ9" s="282">
        <v>0</v>
      </c>
      <c r="CA9" s="282">
        <v>0</v>
      </c>
      <c r="CB9" s="282">
        <v>0</v>
      </c>
      <c r="CC9" s="287">
        <v>11</v>
      </c>
      <c r="CD9" s="287">
        <v>4</v>
      </c>
      <c r="CE9" s="282">
        <v>0</v>
      </c>
      <c r="CF9" s="282">
        <v>0</v>
      </c>
      <c r="CG9" s="282">
        <v>0</v>
      </c>
      <c r="CH9" s="282">
        <v>0</v>
      </c>
      <c r="CI9" s="282">
        <v>0</v>
      </c>
      <c r="CJ9" s="282">
        <v>0</v>
      </c>
      <c r="CK9" s="282">
        <v>0</v>
      </c>
      <c r="CL9" s="282">
        <v>0</v>
      </c>
      <c r="CM9" s="282">
        <v>0</v>
      </c>
      <c r="CN9" s="282">
        <v>0</v>
      </c>
      <c r="CO9" s="282">
        <v>0</v>
      </c>
      <c r="CP9" s="282">
        <v>0</v>
      </c>
      <c r="CQ9" s="282">
        <v>0</v>
      </c>
      <c r="CR9" s="282">
        <v>0</v>
      </c>
      <c r="CS9" s="282">
        <v>0</v>
      </c>
      <c r="CT9" s="287">
        <v>11</v>
      </c>
      <c r="CU9" s="287">
        <v>5</v>
      </c>
      <c r="CV9" s="282">
        <v>0</v>
      </c>
      <c r="CW9" s="282">
        <v>0</v>
      </c>
      <c r="CX9" s="282">
        <v>0</v>
      </c>
      <c r="CY9" s="282">
        <v>0</v>
      </c>
    </row>
    <row r="10" spans="1:110" x14ac:dyDescent="0.3">
      <c r="A10" s="181" t="s">
        <v>131</v>
      </c>
      <c r="B10" s="284">
        <v>0</v>
      </c>
      <c r="C10" s="284">
        <v>0</v>
      </c>
      <c r="D10" s="284">
        <v>0</v>
      </c>
      <c r="E10" s="284">
        <v>0</v>
      </c>
      <c r="F10" s="284">
        <v>0</v>
      </c>
      <c r="G10" s="284">
        <v>0</v>
      </c>
      <c r="H10" s="284">
        <v>0</v>
      </c>
      <c r="I10" s="284">
        <v>0</v>
      </c>
      <c r="J10" s="283">
        <v>134</v>
      </c>
      <c r="K10" s="284">
        <v>0</v>
      </c>
      <c r="L10" s="283">
        <v>123</v>
      </c>
      <c r="M10" s="284">
        <v>0</v>
      </c>
      <c r="N10" s="284">
        <v>0</v>
      </c>
      <c r="O10" s="284">
        <v>0</v>
      </c>
      <c r="P10" s="284">
        <v>0</v>
      </c>
      <c r="Q10" s="284">
        <v>0</v>
      </c>
      <c r="R10" s="284">
        <v>0</v>
      </c>
      <c r="S10" s="284">
        <v>0</v>
      </c>
      <c r="T10" s="284">
        <v>0</v>
      </c>
      <c r="U10" s="284">
        <v>0</v>
      </c>
      <c r="V10" s="284">
        <v>0</v>
      </c>
      <c r="W10" s="284">
        <v>0</v>
      </c>
      <c r="X10" s="284">
        <v>0</v>
      </c>
      <c r="Y10" s="284">
        <v>0</v>
      </c>
      <c r="Z10" s="284">
        <v>0</v>
      </c>
      <c r="AA10" s="283">
        <v>116</v>
      </c>
      <c r="AB10" s="284">
        <v>0</v>
      </c>
      <c r="AC10" s="283">
        <v>141</v>
      </c>
      <c r="AD10" s="284">
        <v>0</v>
      </c>
      <c r="AE10" s="284">
        <v>0</v>
      </c>
      <c r="AF10" s="284">
        <v>0</v>
      </c>
      <c r="AG10" s="284">
        <v>0</v>
      </c>
      <c r="AH10" s="284">
        <v>0</v>
      </c>
      <c r="AI10" s="284">
        <v>0</v>
      </c>
      <c r="AJ10" s="284">
        <v>0</v>
      </c>
      <c r="AK10" s="284">
        <v>0</v>
      </c>
      <c r="AL10" s="284">
        <v>0</v>
      </c>
      <c r="AM10" s="284">
        <v>0</v>
      </c>
      <c r="AN10" s="284">
        <v>0</v>
      </c>
      <c r="AO10" s="284">
        <v>0</v>
      </c>
      <c r="AP10" s="284">
        <v>0</v>
      </c>
      <c r="AQ10" s="284">
        <v>0</v>
      </c>
      <c r="AR10" s="283">
        <v>129</v>
      </c>
      <c r="AS10" s="284">
        <v>0</v>
      </c>
      <c r="AT10" s="283">
        <v>125</v>
      </c>
      <c r="AU10" s="284">
        <v>0</v>
      </c>
      <c r="AV10" s="284">
        <v>0</v>
      </c>
      <c r="AW10" s="284">
        <v>0</v>
      </c>
      <c r="AX10" s="284">
        <v>0</v>
      </c>
      <c r="AY10" s="284">
        <v>0</v>
      </c>
      <c r="AZ10" s="284">
        <v>0</v>
      </c>
      <c r="BA10" s="282">
        <v>0</v>
      </c>
      <c r="BB10" s="282">
        <v>0</v>
      </c>
      <c r="BC10" s="282">
        <v>0</v>
      </c>
      <c r="BD10" s="282">
        <v>0</v>
      </c>
      <c r="BE10" s="282">
        <v>0</v>
      </c>
      <c r="BF10" s="282">
        <v>0</v>
      </c>
      <c r="BG10" s="282">
        <v>0</v>
      </c>
      <c r="BH10" s="282">
        <v>0</v>
      </c>
      <c r="BI10" s="287">
        <v>17</v>
      </c>
      <c r="BJ10" s="282">
        <v>0</v>
      </c>
      <c r="BK10" s="287">
        <v>15</v>
      </c>
      <c r="BL10" s="282">
        <v>0</v>
      </c>
      <c r="BM10" s="282">
        <v>0</v>
      </c>
      <c r="BN10" s="282">
        <v>0</v>
      </c>
      <c r="BO10" s="282">
        <v>0</v>
      </c>
      <c r="BP10" s="282">
        <v>0</v>
      </c>
      <c r="BQ10" s="282">
        <v>0</v>
      </c>
      <c r="BR10" s="282">
        <v>0</v>
      </c>
      <c r="BS10" s="282">
        <v>0</v>
      </c>
      <c r="BT10" s="282">
        <v>0</v>
      </c>
      <c r="BU10" s="282">
        <v>0</v>
      </c>
      <c r="BV10" s="282">
        <v>0</v>
      </c>
      <c r="BW10" s="282">
        <v>0</v>
      </c>
      <c r="BX10" s="282">
        <v>0</v>
      </c>
      <c r="BY10" s="282">
        <v>0</v>
      </c>
      <c r="BZ10" s="287">
        <v>14</v>
      </c>
      <c r="CA10" s="282">
        <v>0</v>
      </c>
      <c r="CB10" s="287">
        <v>18</v>
      </c>
      <c r="CC10" s="282">
        <v>0</v>
      </c>
      <c r="CD10" s="282">
        <v>0</v>
      </c>
      <c r="CE10" s="282">
        <v>0</v>
      </c>
      <c r="CF10" s="282">
        <v>0</v>
      </c>
      <c r="CG10" s="282">
        <v>0</v>
      </c>
      <c r="CH10" s="282">
        <v>0</v>
      </c>
      <c r="CI10" s="282">
        <v>0</v>
      </c>
      <c r="CJ10" s="282">
        <v>0</v>
      </c>
      <c r="CK10" s="282">
        <v>0</v>
      </c>
      <c r="CL10" s="282">
        <v>0</v>
      </c>
      <c r="CM10" s="282">
        <v>0</v>
      </c>
      <c r="CN10" s="282">
        <v>0</v>
      </c>
      <c r="CO10" s="282">
        <v>0</v>
      </c>
      <c r="CP10" s="282">
        <v>0</v>
      </c>
      <c r="CQ10" s="287">
        <v>16</v>
      </c>
      <c r="CR10" s="282">
        <v>0</v>
      </c>
      <c r="CS10" s="287">
        <v>15</v>
      </c>
      <c r="CT10" s="282">
        <v>0</v>
      </c>
      <c r="CU10" s="282">
        <v>0</v>
      </c>
      <c r="CV10" s="282">
        <v>0</v>
      </c>
      <c r="CW10" s="282">
        <v>0</v>
      </c>
      <c r="CX10" s="282">
        <v>0</v>
      </c>
      <c r="CY10" s="282">
        <v>0</v>
      </c>
    </row>
    <row r="11" spans="1:110" x14ac:dyDescent="0.3">
      <c r="A11" s="181" t="s">
        <v>230</v>
      </c>
      <c r="B11" s="284">
        <v>0</v>
      </c>
      <c r="C11" s="284">
        <v>0</v>
      </c>
      <c r="D11" s="284">
        <v>0</v>
      </c>
      <c r="E11" s="284">
        <v>0</v>
      </c>
      <c r="F11" s="284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3">
        <v>141</v>
      </c>
      <c r="M11" s="284">
        <v>0</v>
      </c>
      <c r="N11" s="284">
        <v>0</v>
      </c>
      <c r="O11" s="283">
        <v>99</v>
      </c>
      <c r="P11" s="283">
        <v>14</v>
      </c>
      <c r="Q11" s="283">
        <v>101</v>
      </c>
      <c r="R11" s="283">
        <v>37</v>
      </c>
      <c r="S11" s="284">
        <v>0</v>
      </c>
      <c r="T11" s="284">
        <v>0</v>
      </c>
      <c r="U11" s="284">
        <v>0</v>
      </c>
      <c r="V11" s="284">
        <v>0</v>
      </c>
      <c r="W11" s="284">
        <v>0</v>
      </c>
      <c r="X11" s="284">
        <v>0</v>
      </c>
      <c r="Y11" s="284">
        <v>0</v>
      </c>
      <c r="Z11" s="284">
        <v>0</v>
      </c>
      <c r="AA11" s="284">
        <v>0</v>
      </c>
      <c r="AB11" s="284">
        <v>0</v>
      </c>
      <c r="AC11" s="283">
        <v>139</v>
      </c>
      <c r="AD11" s="284">
        <v>0</v>
      </c>
      <c r="AE11" s="284">
        <v>0</v>
      </c>
      <c r="AF11" s="283">
        <v>110</v>
      </c>
      <c r="AG11" s="283">
        <v>19</v>
      </c>
      <c r="AH11" s="283">
        <v>160</v>
      </c>
      <c r="AI11" s="283">
        <v>44</v>
      </c>
      <c r="AJ11" s="284">
        <v>0</v>
      </c>
      <c r="AK11" s="284">
        <v>0</v>
      </c>
      <c r="AL11" s="284">
        <v>0</v>
      </c>
      <c r="AM11" s="284">
        <v>0</v>
      </c>
      <c r="AN11" s="284">
        <v>0</v>
      </c>
      <c r="AO11" s="284">
        <v>0</v>
      </c>
      <c r="AP11" s="284">
        <v>0</v>
      </c>
      <c r="AQ11" s="284">
        <v>0</v>
      </c>
      <c r="AR11" s="284">
        <v>0</v>
      </c>
      <c r="AS11" s="284">
        <v>0</v>
      </c>
      <c r="AT11" s="283">
        <v>149</v>
      </c>
      <c r="AU11" s="284">
        <v>0</v>
      </c>
      <c r="AV11" s="284">
        <v>0</v>
      </c>
      <c r="AW11" s="283">
        <v>135</v>
      </c>
      <c r="AX11" s="283">
        <v>17</v>
      </c>
      <c r="AY11" s="283">
        <v>151</v>
      </c>
      <c r="AZ11" s="283">
        <v>56</v>
      </c>
      <c r="BA11" s="282">
        <v>0</v>
      </c>
      <c r="BB11" s="282">
        <v>0</v>
      </c>
      <c r="BC11" s="282">
        <v>0</v>
      </c>
      <c r="BD11" s="282">
        <v>0</v>
      </c>
      <c r="BE11" s="282">
        <v>0</v>
      </c>
      <c r="BF11" s="282">
        <v>0</v>
      </c>
      <c r="BG11" s="282">
        <v>0</v>
      </c>
      <c r="BH11" s="282">
        <v>0</v>
      </c>
      <c r="BI11" s="282">
        <v>0</v>
      </c>
      <c r="BJ11" s="282">
        <v>0</v>
      </c>
      <c r="BK11" s="287">
        <v>17</v>
      </c>
      <c r="BL11" s="282">
        <v>0</v>
      </c>
      <c r="BM11" s="282">
        <v>0</v>
      </c>
      <c r="BN11" s="287">
        <v>12</v>
      </c>
      <c r="BO11" s="287">
        <v>2</v>
      </c>
      <c r="BP11" s="287">
        <v>13</v>
      </c>
      <c r="BQ11" s="287">
        <v>5</v>
      </c>
      <c r="BR11" s="282">
        <v>0</v>
      </c>
      <c r="BS11" s="282">
        <v>0</v>
      </c>
      <c r="BT11" s="282">
        <v>0</v>
      </c>
      <c r="BU11" s="282">
        <v>0</v>
      </c>
      <c r="BV11" s="282">
        <v>0</v>
      </c>
      <c r="BW11" s="282">
        <v>0</v>
      </c>
      <c r="BX11" s="282">
        <v>0</v>
      </c>
      <c r="BY11" s="282">
        <v>0</v>
      </c>
      <c r="BZ11" s="282">
        <v>0</v>
      </c>
      <c r="CA11" s="282">
        <v>0</v>
      </c>
      <c r="CB11" s="287">
        <v>17</v>
      </c>
      <c r="CC11" s="282">
        <v>0</v>
      </c>
      <c r="CD11" s="282">
        <v>0</v>
      </c>
      <c r="CE11" s="287">
        <v>14</v>
      </c>
      <c r="CF11" s="287">
        <v>2</v>
      </c>
      <c r="CG11" s="287">
        <v>20</v>
      </c>
      <c r="CH11" s="287">
        <v>6</v>
      </c>
      <c r="CI11" s="282">
        <v>0</v>
      </c>
      <c r="CJ11" s="282">
        <v>0</v>
      </c>
      <c r="CK11" s="282">
        <v>0</v>
      </c>
      <c r="CL11" s="282">
        <v>0</v>
      </c>
      <c r="CM11" s="282">
        <v>0</v>
      </c>
      <c r="CN11" s="282">
        <v>0</v>
      </c>
      <c r="CO11" s="282">
        <v>0</v>
      </c>
      <c r="CP11" s="282">
        <v>0</v>
      </c>
      <c r="CQ11" s="282">
        <v>0</v>
      </c>
      <c r="CR11" s="282">
        <v>0</v>
      </c>
      <c r="CS11" s="287">
        <v>18</v>
      </c>
      <c r="CT11" s="282">
        <v>0</v>
      </c>
      <c r="CU11" s="282">
        <v>0</v>
      </c>
      <c r="CV11" s="287">
        <v>17</v>
      </c>
      <c r="CW11" s="287">
        <v>2</v>
      </c>
      <c r="CX11" s="287">
        <v>19</v>
      </c>
      <c r="CY11" s="287">
        <v>7</v>
      </c>
    </row>
    <row r="12" spans="1:110" x14ac:dyDescent="0.3">
      <c r="A12" s="181" t="s">
        <v>146</v>
      </c>
      <c r="B12" s="285">
        <v>0</v>
      </c>
      <c r="C12" s="285">
        <v>0</v>
      </c>
      <c r="D12" s="285">
        <v>0</v>
      </c>
      <c r="E12" s="285">
        <v>0</v>
      </c>
      <c r="F12" s="285">
        <v>0</v>
      </c>
      <c r="G12" s="285">
        <v>0</v>
      </c>
      <c r="H12" s="285">
        <v>0</v>
      </c>
      <c r="I12" s="285">
        <v>0</v>
      </c>
      <c r="J12" s="285">
        <v>0</v>
      </c>
      <c r="K12" s="285">
        <v>0</v>
      </c>
      <c r="L12" s="285">
        <v>0</v>
      </c>
      <c r="M12" s="285">
        <v>0</v>
      </c>
      <c r="N12" s="285">
        <v>0</v>
      </c>
      <c r="O12" s="285">
        <v>0</v>
      </c>
      <c r="P12" s="285">
        <v>0</v>
      </c>
      <c r="Q12" s="285">
        <v>0</v>
      </c>
      <c r="R12" s="285">
        <v>0</v>
      </c>
      <c r="S12" s="285">
        <v>0</v>
      </c>
      <c r="T12" s="285">
        <v>0</v>
      </c>
      <c r="U12" s="285">
        <v>0</v>
      </c>
      <c r="V12" s="285">
        <v>0</v>
      </c>
      <c r="W12" s="285">
        <v>0</v>
      </c>
      <c r="X12" s="285">
        <v>0</v>
      </c>
      <c r="Y12" s="285">
        <v>0</v>
      </c>
      <c r="Z12" s="285">
        <v>0</v>
      </c>
      <c r="AA12" s="285">
        <v>0</v>
      </c>
      <c r="AB12" s="285">
        <v>0</v>
      </c>
      <c r="AC12" s="285">
        <v>0</v>
      </c>
      <c r="AD12" s="285">
        <v>0</v>
      </c>
      <c r="AE12" s="285">
        <v>0</v>
      </c>
      <c r="AF12" s="285">
        <v>0</v>
      </c>
      <c r="AG12" s="285">
        <v>0</v>
      </c>
      <c r="AH12" s="285">
        <v>0</v>
      </c>
      <c r="AI12" s="285">
        <v>0</v>
      </c>
      <c r="AJ12" s="285">
        <v>0</v>
      </c>
      <c r="AK12" s="285">
        <v>0</v>
      </c>
      <c r="AL12" s="285">
        <v>0</v>
      </c>
      <c r="AM12" s="285">
        <v>0</v>
      </c>
      <c r="AN12" s="285">
        <v>0</v>
      </c>
      <c r="AO12" s="285">
        <v>0</v>
      </c>
      <c r="AP12" s="285">
        <v>0</v>
      </c>
      <c r="AQ12" s="285">
        <v>0</v>
      </c>
      <c r="AR12" s="285">
        <v>0</v>
      </c>
      <c r="AS12" s="285">
        <v>0</v>
      </c>
      <c r="AT12" s="285">
        <v>0</v>
      </c>
      <c r="AU12" s="285">
        <v>0</v>
      </c>
      <c r="AV12" s="285">
        <v>0</v>
      </c>
      <c r="AW12" s="285">
        <v>0</v>
      </c>
      <c r="AX12" s="285">
        <v>0</v>
      </c>
      <c r="AY12" s="286">
        <v>0</v>
      </c>
      <c r="AZ12" s="286">
        <v>0</v>
      </c>
      <c r="BA12" s="194">
        <v>0</v>
      </c>
      <c r="BB12" s="194">
        <v>0</v>
      </c>
      <c r="BC12" s="194">
        <v>0</v>
      </c>
      <c r="BD12" s="194">
        <v>0</v>
      </c>
      <c r="BE12" s="194">
        <v>0</v>
      </c>
      <c r="BF12" s="194">
        <v>0</v>
      </c>
      <c r="BG12" s="194">
        <v>0</v>
      </c>
      <c r="BH12" s="194">
        <v>0</v>
      </c>
      <c r="BI12" s="194">
        <v>0</v>
      </c>
      <c r="BJ12" s="194">
        <v>0</v>
      </c>
      <c r="BK12" s="194">
        <v>0</v>
      </c>
      <c r="BL12" s="194">
        <v>0</v>
      </c>
      <c r="BM12" s="194">
        <v>0</v>
      </c>
      <c r="BN12" s="194">
        <v>0</v>
      </c>
      <c r="BO12" s="194">
        <v>0</v>
      </c>
      <c r="BP12" s="194">
        <v>0</v>
      </c>
      <c r="BQ12" s="194">
        <v>0</v>
      </c>
      <c r="BR12" s="194">
        <v>0</v>
      </c>
      <c r="BS12" s="194">
        <v>0</v>
      </c>
      <c r="BT12" s="194">
        <v>0</v>
      </c>
      <c r="BU12" s="194">
        <v>0</v>
      </c>
      <c r="BV12" s="194">
        <v>0</v>
      </c>
      <c r="BW12" s="194">
        <v>0</v>
      </c>
      <c r="BX12" s="194">
        <v>0</v>
      </c>
      <c r="BY12" s="194">
        <v>0</v>
      </c>
      <c r="BZ12" s="194">
        <v>0</v>
      </c>
      <c r="CA12" s="194">
        <v>0</v>
      </c>
      <c r="CB12" s="194">
        <v>0</v>
      </c>
      <c r="CC12" s="194">
        <v>0</v>
      </c>
      <c r="CD12" s="194">
        <v>0</v>
      </c>
      <c r="CE12" s="194">
        <v>0</v>
      </c>
      <c r="CF12" s="194">
        <v>0</v>
      </c>
      <c r="CG12" s="194">
        <v>0</v>
      </c>
      <c r="CH12" s="194">
        <v>0</v>
      </c>
      <c r="CI12" s="194">
        <v>0</v>
      </c>
      <c r="CJ12" s="194">
        <v>0</v>
      </c>
      <c r="CK12" s="194">
        <v>0</v>
      </c>
      <c r="CL12" s="194">
        <v>0</v>
      </c>
      <c r="CM12" s="194">
        <v>0</v>
      </c>
      <c r="CN12" s="194">
        <v>0</v>
      </c>
      <c r="CO12" s="194">
        <v>0</v>
      </c>
      <c r="CP12" s="194">
        <v>0</v>
      </c>
      <c r="CQ12" s="194">
        <v>0</v>
      </c>
      <c r="CR12" s="194">
        <v>0</v>
      </c>
      <c r="CS12" s="194">
        <v>0</v>
      </c>
      <c r="CT12" s="194">
        <v>0</v>
      </c>
      <c r="CU12" s="194">
        <v>0</v>
      </c>
      <c r="CV12" s="194">
        <v>0</v>
      </c>
      <c r="CW12" s="194">
        <v>0</v>
      </c>
      <c r="CX12" s="194">
        <v>0</v>
      </c>
      <c r="CY12" s="194">
        <v>0</v>
      </c>
    </row>
    <row r="13" spans="1:110" x14ac:dyDescent="0.3">
      <c r="BA13" s="276"/>
    </row>
  </sheetData>
  <sheetProtection selectLockedCells="1" selectUnlockedCells="1"/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workbookViewId="0">
      <selection activeCell="AA12" sqref="AA12"/>
    </sheetView>
  </sheetViews>
  <sheetFormatPr defaultRowHeight="13.8" x14ac:dyDescent="0.25"/>
  <cols>
    <col min="1" max="1" width="4.125" style="272" customWidth="1"/>
    <col min="2" max="2" width="15.75" style="272" bestFit="1" customWidth="1"/>
    <col min="3" max="3" width="3.375" style="272" customWidth="1"/>
    <col min="4" max="4" width="3.125" style="272" customWidth="1"/>
    <col min="5" max="5" width="6.25" style="272" customWidth="1"/>
    <col min="6" max="6" width="6" style="272" bestFit="1" customWidth="1"/>
    <col min="7" max="8" width="8.25" style="272" customWidth="1"/>
    <col min="9" max="9" width="6" style="272" bestFit="1" customWidth="1"/>
    <col min="10" max="11" width="8.25" style="272" customWidth="1"/>
    <col min="12" max="12" width="6" style="272" bestFit="1" customWidth="1"/>
    <col min="13" max="14" width="8.25" style="272" customWidth="1"/>
    <col min="15" max="15" width="6" style="272" bestFit="1" customWidth="1"/>
    <col min="16" max="17" width="8.25" style="272" customWidth="1"/>
    <col min="18" max="18" width="6" style="272" bestFit="1" customWidth="1"/>
    <col min="19" max="20" width="8.25" style="272" customWidth="1"/>
    <col min="21" max="21" width="6" style="272" bestFit="1" customWidth="1"/>
    <col min="22" max="23" width="8.25" style="272" customWidth="1"/>
    <col min="24" max="16384" width="9" style="272"/>
  </cols>
  <sheetData>
    <row r="1" spans="1:24" s="204" customFormat="1" ht="25.05" customHeight="1" x14ac:dyDescent="0.25">
      <c r="A1" s="619" t="s">
        <v>225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205"/>
    </row>
    <row r="2" spans="1:24" ht="15.65" customHeight="1" x14ac:dyDescent="0.25">
      <c r="A2" s="621" t="s">
        <v>162</v>
      </c>
      <c r="B2" s="621" t="s">
        <v>221</v>
      </c>
      <c r="C2" s="623" t="s">
        <v>222</v>
      </c>
      <c r="D2" s="621" t="s">
        <v>2</v>
      </c>
      <c r="E2" s="621" t="s">
        <v>141</v>
      </c>
      <c r="F2" s="625" t="s">
        <v>252</v>
      </c>
      <c r="G2" s="617"/>
      <c r="H2" s="618"/>
      <c r="I2" s="616" t="s">
        <v>253</v>
      </c>
      <c r="J2" s="617"/>
      <c r="K2" s="618"/>
      <c r="L2" s="616" t="s">
        <v>254</v>
      </c>
      <c r="M2" s="617"/>
      <c r="N2" s="618"/>
      <c r="O2" s="616" t="s">
        <v>255</v>
      </c>
      <c r="P2" s="617"/>
      <c r="Q2" s="618"/>
      <c r="R2" s="616" t="s">
        <v>256</v>
      </c>
      <c r="S2" s="617"/>
      <c r="T2" s="618"/>
      <c r="U2" s="616" t="s">
        <v>257</v>
      </c>
      <c r="V2" s="617"/>
      <c r="W2" s="618"/>
    </row>
    <row r="3" spans="1:24" ht="66.400000000000006" customHeight="1" x14ac:dyDescent="0.25">
      <c r="A3" s="622"/>
      <c r="B3" s="622"/>
      <c r="C3" s="624"/>
      <c r="D3" s="622"/>
      <c r="E3" s="622"/>
      <c r="F3" s="299" t="s">
        <v>223</v>
      </c>
      <c r="G3" s="273" t="s">
        <v>164</v>
      </c>
      <c r="H3" s="273" t="s">
        <v>163</v>
      </c>
      <c r="I3" s="273" t="s">
        <v>223</v>
      </c>
      <c r="J3" s="273" t="s">
        <v>164</v>
      </c>
      <c r="K3" s="273" t="s">
        <v>163</v>
      </c>
      <c r="L3" s="273" t="s">
        <v>223</v>
      </c>
      <c r="M3" s="273" t="s">
        <v>164</v>
      </c>
      <c r="N3" s="273" t="s">
        <v>163</v>
      </c>
      <c r="O3" s="273" t="s">
        <v>223</v>
      </c>
      <c r="P3" s="273" t="s">
        <v>164</v>
      </c>
      <c r="Q3" s="273" t="s">
        <v>163</v>
      </c>
      <c r="R3" s="273" t="s">
        <v>223</v>
      </c>
      <c r="S3" s="273" t="s">
        <v>164</v>
      </c>
      <c r="T3" s="273" t="s">
        <v>163</v>
      </c>
      <c r="U3" s="273" t="s">
        <v>223</v>
      </c>
      <c r="V3" s="273" t="s">
        <v>164</v>
      </c>
      <c r="W3" s="273" t="s">
        <v>163</v>
      </c>
    </row>
    <row r="4" spans="1:24" ht="19.600000000000001" customHeight="1" x14ac:dyDescent="0.25">
      <c r="A4" s="300">
        <v>1</v>
      </c>
      <c r="B4" s="301" t="s">
        <v>132</v>
      </c>
      <c r="C4" s="300">
        <v>7</v>
      </c>
      <c r="D4" s="300">
        <v>1</v>
      </c>
      <c r="E4" s="301" t="s">
        <v>142</v>
      </c>
      <c r="F4" s="274">
        <v>106</v>
      </c>
      <c r="G4" s="274">
        <v>12</v>
      </c>
      <c r="H4" s="274">
        <v>94</v>
      </c>
      <c r="I4" s="274">
        <v>101</v>
      </c>
      <c r="J4" s="274">
        <v>11</v>
      </c>
      <c r="K4" s="274">
        <v>90</v>
      </c>
      <c r="L4" s="274">
        <v>118</v>
      </c>
      <c r="M4" s="274">
        <v>13</v>
      </c>
      <c r="N4" s="274">
        <v>105</v>
      </c>
      <c r="O4" s="271" t="s">
        <v>224</v>
      </c>
      <c r="P4" s="271" t="s">
        <v>224</v>
      </c>
      <c r="Q4" s="271" t="s">
        <v>224</v>
      </c>
      <c r="R4" s="271" t="s">
        <v>224</v>
      </c>
      <c r="S4" s="271" t="s">
        <v>224</v>
      </c>
      <c r="T4" s="271" t="s">
        <v>224</v>
      </c>
      <c r="U4" s="271" t="s">
        <v>224</v>
      </c>
      <c r="V4" s="271" t="s">
        <v>224</v>
      </c>
      <c r="W4" s="271" t="s">
        <v>224</v>
      </c>
    </row>
    <row r="5" spans="1:24" ht="19.600000000000001" customHeight="1" x14ac:dyDescent="0.25">
      <c r="A5" s="274">
        <v>2</v>
      </c>
      <c r="B5" s="271" t="s">
        <v>132</v>
      </c>
      <c r="C5" s="274">
        <v>7</v>
      </c>
      <c r="D5" s="274">
        <v>1</v>
      </c>
      <c r="E5" s="271" t="s">
        <v>143</v>
      </c>
      <c r="F5" s="274">
        <v>47</v>
      </c>
      <c r="G5" s="274">
        <v>5</v>
      </c>
      <c r="H5" s="274">
        <v>42</v>
      </c>
      <c r="I5" s="274">
        <v>53</v>
      </c>
      <c r="J5" s="274">
        <v>6</v>
      </c>
      <c r="K5" s="274">
        <v>47</v>
      </c>
      <c r="L5" s="274">
        <v>68</v>
      </c>
      <c r="M5" s="274">
        <v>7</v>
      </c>
      <c r="N5" s="274">
        <v>61</v>
      </c>
      <c r="O5" s="271" t="s">
        <v>224</v>
      </c>
      <c r="P5" s="271" t="s">
        <v>224</v>
      </c>
      <c r="Q5" s="271" t="s">
        <v>224</v>
      </c>
      <c r="R5" s="271" t="s">
        <v>224</v>
      </c>
      <c r="S5" s="271" t="s">
        <v>224</v>
      </c>
      <c r="T5" s="271" t="s">
        <v>224</v>
      </c>
      <c r="U5" s="271" t="s">
        <v>224</v>
      </c>
      <c r="V5" s="271" t="s">
        <v>224</v>
      </c>
      <c r="W5" s="271" t="s">
        <v>224</v>
      </c>
    </row>
    <row r="6" spans="1:24" ht="19.600000000000001" customHeight="1" x14ac:dyDescent="0.25">
      <c r="A6" s="274">
        <v>3</v>
      </c>
      <c r="B6" s="271" t="s">
        <v>133</v>
      </c>
      <c r="C6" s="274">
        <v>7</v>
      </c>
      <c r="D6" s="274">
        <v>1</v>
      </c>
      <c r="E6" s="271" t="s">
        <v>142</v>
      </c>
      <c r="F6" s="274">
        <v>140</v>
      </c>
      <c r="G6" s="274">
        <v>15</v>
      </c>
      <c r="H6" s="274">
        <v>125</v>
      </c>
      <c r="I6" s="274">
        <v>139</v>
      </c>
      <c r="J6" s="274">
        <v>15</v>
      </c>
      <c r="K6" s="274">
        <v>124</v>
      </c>
      <c r="L6" s="274">
        <v>176</v>
      </c>
      <c r="M6" s="274">
        <v>19</v>
      </c>
      <c r="N6" s="274">
        <v>157</v>
      </c>
      <c r="O6" s="271" t="s">
        <v>224</v>
      </c>
      <c r="P6" s="271" t="s">
        <v>224</v>
      </c>
      <c r="Q6" s="271" t="s">
        <v>224</v>
      </c>
      <c r="R6" s="271" t="s">
        <v>224</v>
      </c>
      <c r="S6" s="271" t="s">
        <v>224</v>
      </c>
      <c r="T6" s="271" t="s">
        <v>224</v>
      </c>
      <c r="U6" s="271" t="s">
        <v>224</v>
      </c>
      <c r="V6" s="271" t="s">
        <v>224</v>
      </c>
      <c r="W6" s="271" t="s">
        <v>224</v>
      </c>
    </row>
    <row r="7" spans="1:24" ht="19.600000000000001" customHeight="1" x14ac:dyDescent="0.25">
      <c r="A7" s="274">
        <v>4</v>
      </c>
      <c r="B7" s="271" t="s">
        <v>133</v>
      </c>
      <c r="C7" s="274">
        <v>7</v>
      </c>
      <c r="D7" s="274">
        <v>1</v>
      </c>
      <c r="E7" s="271" t="s">
        <v>143</v>
      </c>
      <c r="F7" s="274">
        <v>49</v>
      </c>
      <c r="G7" s="274">
        <v>5</v>
      </c>
      <c r="H7" s="274">
        <v>44</v>
      </c>
      <c r="I7" s="274">
        <v>47</v>
      </c>
      <c r="J7" s="274">
        <v>5</v>
      </c>
      <c r="K7" s="274">
        <v>42</v>
      </c>
      <c r="L7" s="274">
        <v>47</v>
      </c>
      <c r="M7" s="274">
        <v>5</v>
      </c>
      <c r="N7" s="274">
        <v>42</v>
      </c>
      <c r="O7" s="271" t="s">
        <v>224</v>
      </c>
      <c r="P7" s="271" t="s">
        <v>224</v>
      </c>
      <c r="Q7" s="271" t="s">
        <v>224</v>
      </c>
      <c r="R7" s="271" t="s">
        <v>224</v>
      </c>
      <c r="S7" s="271" t="s">
        <v>224</v>
      </c>
      <c r="T7" s="271" t="s">
        <v>224</v>
      </c>
      <c r="U7" s="271" t="s">
        <v>224</v>
      </c>
      <c r="V7" s="271" t="s">
        <v>224</v>
      </c>
      <c r="W7" s="271" t="s">
        <v>224</v>
      </c>
    </row>
    <row r="8" spans="1:24" ht="19.600000000000001" customHeight="1" x14ac:dyDescent="0.25">
      <c r="A8" s="274">
        <v>5</v>
      </c>
      <c r="B8" s="271" t="s">
        <v>134</v>
      </c>
      <c r="C8" s="274">
        <v>7</v>
      </c>
      <c r="D8" s="274">
        <v>1</v>
      </c>
      <c r="E8" s="271" t="s">
        <v>142</v>
      </c>
      <c r="F8" s="274">
        <v>132</v>
      </c>
      <c r="G8" s="274">
        <v>15</v>
      </c>
      <c r="H8" s="274">
        <v>117</v>
      </c>
      <c r="I8" s="274">
        <v>112</v>
      </c>
      <c r="J8" s="274">
        <v>12</v>
      </c>
      <c r="K8" s="274">
        <v>100</v>
      </c>
      <c r="L8" s="274">
        <v>165</v>
      </c>
      <c r="M8" s="274">
        <v>18</v>
      </c>
      <c r="N8" s="274">
        <v>147</v>
      </c>
      <c r="O8" s="271" t="s">
        <v>224</v>
      </c>
      <c r="P8" s="271" t="s">
        <v>224</v>
      </c>
      <c r="Q8" s="271" t="s">
        <v>224</v>
      </c>
      <c r="R8" s="271" t="s">
        <v>224</v>
      </c>
      <c r="S8" s="271" t="s">
        <v>224</v>
      </c>
      <c r="T8" s="271" t="s">
        <v>224</v>
      </c>
      <c r="U8" s="271" t="s">
        <v>224</v>
      </c>
      <c r="V8" s="271" t="s">
        <v>224</v>
      </c>
      <c r="W8" s="271" t="s">
        <v>224</v>
      </c>
    </row>
    <row r="9" spans="1:24" ht="19.600000000000001" customHeight="1" x14ac:dyDescent="0.25">
      <c r="A9" s="274">
        <v>6</v>
      </c>
      <c r="B9" s="271" t="s">
        <v>134</v>
      </c>
      <c r="C9" s="274">
        <v>7</v>
      </c>
      <c r="D9" s="274">
        <v>1</v>
      </c>
      <c r="E9" s="271" t="s">
        <v>143</v>
      </c>
      <c r="F9" s="274">
        <v>45</v>
      </c>
      <c r="G9" s="274">
        <v>5</v>
      </c>
      <c r="H9" s="274">
        <v>40</v>
      </c>
      <c r="I9" s="274">
        <v>49</v>
      </c>
      <c r="J9" s="274">
        <v>5</v>
      </c>
      <c r="K9" s="274">
        <v>44</v>
      </c>
      <c r="L9" s="274">
        <v>61</v>
      </c>
      <c r="M9" s="274">
        <v>7</v>
      </c>
      <c r="N9" s="274">
        <v>54</v>
      </c>
      <c r="O9" s="271" t="s">
        <v>224</v>
      </c>
      <c r="P9" s="271" t="s">
        <v>224</v>
      </c>
      <c r="Q9" s="271" t="s">
        <v>224</v>
      </c>
      <c r="R9" s="271" t="s">
        <v>224</v>
      </c>
      <c r="S9" s="271" t="s">
        <v>224</v>
      </c>
      <c r="T9" s="271" t="s">
        <v>224</v>
      </c>
      <c r="U9" s="271" t="s">
        <v>224</v>
      </c>
      <c r="V9" s="271" t="s">
        <v>224</v>
      </c>
      <c r="W9" s="271" t="s">
        <v>224</v>
      </c>
    </row>
    <row r="10" spans="1:24" ht="19.600000000000001" customHeight="1" x14ac:dyDescent="0.25">
      <c r="A10" s="274">
        <v>7</v>
      </c>
      <c r="B10" s="271" t="s">
        <v>135</v>
      </c>
      <c r="C10" s="274">
        <v>7</v>
      </c>
      <c r="D10" s="274">
        <v>1</v>
      </c>
      <c r="E10" s="271" t="s">
        <v>142</v>
      </c>
      <c r="F10" s="274">
        <v>115</v>
      </c>
      <c r="G10" s="274">
        <v>13</v>
      </c>
      <c r="H10" s="274">
        <v>102</v>
      </c>
      <c r="I10" s="274">
        <v>110</v>
      </c>
      <c r="J10" s="274">
        <v>12</v>
      </c>
      <c r="K10" s="274">
        <v>98</v>
      </c>
      <c r="L10" s="274">
        <v>115</v>
      </c>
      <c r="M10" s="274">
        <v>13</v>
      </c>
      <c r="N10" s="274">
        <v>102</v>
      </c>
      <c r="O10" s="271" t="s">
        <v>224</v>
      </c>
      <c r="P10" s="271" t="s">
        <v>224</v>
      </c>
      <c r="Q10" s="271" t="s">
        <v>224</v>
      </c>
      <c r="R10" s="271" t="s">
        <v>224</v>
      </c>
      <c r="S10" s="271" t="s">
        <v>224</v>
      </c>
      <c r="T10" s="271" t="s">
        <v>224</v>
      </c>
      <c r="U10" s="271" t="s">
        <v>224</v>
      </c>
      <c r="V10" s="271" t="s">
        <v>224</v>
      </c>
      <c r="W10" s="271" t="s">
        <v>224</v>
      </c>
    </row>
    <row r="11" spans="1:24" ht="19.600000000000001" customHeight="1" x14ac:dyDescent="0.25">
      <c r="A11" s="274">
        <v>8</v>
      </c>
      <c r="B11" s="271" t="s">
        <v>135</v>
      </c>
      <c r="C11" s="274">
        <v>7</v>
      </c>
      <c r="D11" s="274">
        <v>1</v>
      </c>
      <c r="E11" s="271" t="s">
        <v>143</v>
      </c>
      <c r="F11" s="274">
        <v>53</v>
      </c>
      <c r="G11" s="274">
        <v>6</v>
      </c>
      <c r="H11" s="274">
        <v>47</v>
      </c>
      <c r="I11" s="274">
        <v>44</v>
      </c>
      <c r="J11" s="274">
        <v>5</v>
      </c>
      <c r="K11" s="274">
        <v>39</v>
      </c>
      <c r="L11" s="274">
        <v>52</v>
      </c>
      <c r="M11" s="274">
        <v>6</v>
      </c>
      <c r="N11" s="274">
        <v>46</v>
      </c>
      <c r="O11" s="271" t="s">
        <v>224</v>
      </c>
      <c r="P11" s="271" t="s">
        <v>224</v>
      </c>
      <c r="Q11" s="271" t="s">
        <v>224</v>
      </c>
      <c r="R11" s="271" t="s">
        <v>224</v>
      </c>
      <c r="S11" s="271" t="s">
        <v>224</v>
      </c>
      <c r="T11" s="271" t="s">
        <v>224</v>
      </c>
      <c r="U11" s="271" t="s">
        <v>224</v>
      </c>
      <c r="V11" s="271" t="s">
        <v>224</v>
      </c>
      <c r="W11" s="271" t="s">
        <v>224</v>
      </c>
    </row>
    <row r="12" spans="1:24" ht="19.600000000000001" customHeight="1" x14ac:dyDescent="0.25">
      <c r="A12" s="274">
        <v>9</v>
      </c>
      <c r="B12" s="271" t="s">
        <v>136</v>
      </c>
      <c r="C12" s="274">
        <v>7</v>
      </c>
      <c r="D12" s="274">
        <v>1</v>
      </c>
      <c r="E12" s="271" t="s">
        <v>142</v>
      </c>
      <c r="F12" s="274">
        <v>106</v>
      </c>
      <c r="G12" s="274">
        <v>12</v>
      </c>
      <c r="H12" s="274">
        <v>94</v>
      </c>
      <c r="I12" s="274">
        <v>126</v>
      </c>
      <c r="J12" s="274">
        <v>14</v>
      </c>
      <c r="K12" s="274">
        <v>112</v>
      </c>
      <c r="L12" s="274">
        <v>127</v>
      </c>
      <c r="M12" s="274">
        <v>14</v>
      </c>
      <c r="N12" s="274">
        <v>113</v>
      </c>
      <c r="O12" s="271" t="s">
        <v>224</v>
      </c>
      <c r="P12" s="271" t="s">
        <v>224</v>
      </c>
      <c r="Q12" s="271" t="s">
        <v>224</v>
      </c>
      <c r="R12" s="274">
        <v>151</v>
      </c>
      <c r="S12" s="274">
        <v>17</v>
      </c>
      <c r="T12" s="274">
        <v>134</v>
      </c>
      <c r="U12" s="271" t="s">
        <v>224</v>
      </c>
      <c r="V12" s="271" t="s">
        <v>224</v>
      </c>
      <c r="W12" s="271" t="s">
        <v>224</v>
      </c>
    </row>
    <row r="13" spans="1:24" ht="19.600000000000001" customHeight="1" x14ac:dyDescent="0.25">
      <c r="A13" s="274">
        <v>10</v>
      </c>
      <c r="B13" s="271" t="s">
        <v>137</v>
      </c>
      <c r="C13" s="274">
        <v>7</v>
      </c>
      <c r="D13" s="274">
        <v>1</v>
      </c>
      <c r="E13" s="271" t="s">
        <v>142</v>
      </c>
      <c r="F13" s="274">
        <v>69</v>
      </c>
      <c r="G13" s="274">
        <v>8</v>
      </c>
      <c r="H13" s="274">
        <v>61</v>
      </c>
      <c r="I13" s="274">
        <v>66</v>
      </c>
      <c r="J13" s="274">
        <v>7</v>
      </c>
      <c r="K13" s="274">
        <v>59</v>
      </c>
      <c r="L13" s="274">
        <v>75</v>
      </c>
      <c r="M13" s="274">
        <v>8</v>
      </c>
      <c r="N13" s="274">
        <v>67</v>
      </c>
      <c r="O13" s="271" t="s">
        <v>224</v>
      </c>
      <c r="P13" s="271" t="s">
        <v>224</v>
      </c>
      <c r="Q13" s="271" t="s">
        <v>224</v>
      </c>
      <c r="R13" s="271" t="s">
        <v>224</v>
      </c>
      <c r="S13" s="271" t="s">
        <v>224</v>
      </c>
      <c r="T13" s="271" t="s">
        <v>224</v>
      </c>
      <c r="U13" s="271" t="s">
        <v>224</v>
      </c>
      <c r="V13" s="271" t="s">
        <v>224</v>
      </c>
      <c r="W13" s="271" t="s">
        <v>224</v>
      </c>
    </row>
    <row r="14" spans="1:24" ht="19.600000000000001" customHeight="1" x14ac:dyDescent="0.25">
      <c r="A14" s="274">
        <v>11</v>
      </c>
      <c r="B14" s="271" t="s">
        <v>138</v>
      </c>
      <c r="C14" s="274">
        <v>7</v>
      </c>
      <c r="D14" s="274">
        <v>1</v>
      </c>
      <c r="E14" s="271" t="s">
        <v>142</v>
      </c>
      <c r="F14" s="274">
        <v>136</v>
      </c>
      <c r="G14" s="274">
        <v>15</v>
      </c>
      <c r="H14" s="274">
        <v>121</v>
      </c>
      <c r="I14" s="274">
        <v>120</v>
      </c>
      <c r="J14" s="274">
        <v>13</v>
      </c>
      <c r="K14" s="274">
        <v>107</v>
      </c>
      <c r="L14" s="271" t="s">
        <v>224</v>
      </c>
      <c r="M14" s="271" t="s">
        <v>224</v>
      </c>
      <c r="N14" s="271" t="s">
        <v>224</v>
      </c>
      <c r="O14" s="271" t="s">
        <v>224</v>
      </c>
      <c r="P14" s="271" t="s">
        <v>224</v>
      </c>
      <c r="Q14" s="271" t="s">
        <v>224</v>
      </c>
      <c r="R14" s="274">
        <v>138</v>
      </c>
      <c r="S14" s="274">
        <v>15</v>
      </c>
      <c r="T14" s="274">
        <v>123</v>
      </c>
      <c r="U14" s="274">
        <v>158</v>
      </c>
      <c r="V14" s="274">
        <v>17</v>
      </c>
      <c r="W14" s="274">
        <v>141</v>
      </c>
    </row>
    <row r="15" spans="1:24" ht="19.600000000000001" customHeight="1" x14ac:dyDescent="0.25">
      <c r="A15" s="274">
        <v>12</v>
      </c>
      <c r="B15" s="271" t="s">
        <v>139</v>
      </c>
      <c r="C15" s="274">
        <v>7</v>
      </c>
      <c r="D15" s="274">
        <v>1</v>
      </c>
      <c r="E15" s="271" t="s">
        <v>142</v>
      </c>
      <c r="F15" s="274">
        <v>87</v>
      </c>
      <c r="G15" s="274">
        <v>10</v>
      </c>
      <c r="H15" s="274">
        <v>77</v>
      </c>
      <c r="I15" s="271" t="s">
        <v>224</v>
      </c>
      <c r="J15" s="271" t="s">
        <v>224</v>
      </c>
      <c r="K15" s="271" t="s">
        <v>224</v>
      </c>
      <c r="L15" s="274">
        <v>103</v>
      </c>
      <c r="M15" s="274">
        <v>11</v>
      </c>
      <c r="N15" s="274">
        <v>92</v>
      </c>
      <c r="O15" s="274">
        <v>96</v>
      </c>
      <c r="P15" s="274">
        <v>11</v>
      </c>
      <c r="Q15" s="274">
        <v>85</v>
      </c>
      <c r="R15" s="271" t="s">
        <v>224</v>
      </c>
      <c r="S15" s="271" t="s">
        <v>224</v>
      </c>
      <c r="T15" s="271" t="s">
        <v>224</v>
      </c>
      <c r="U15" s="271" t="s">
        <v>224</v>
      </c>
      <c r="V15" s="271" t="s">
        <v>224</v>
      </c>
      <c r="W15" s="271" t="s">
        <v>224</v>
      </c>
    </row>
    <row r="16" spans="1:24" ht="19.600000000000001" customHeight="1" x14ac:dyDescent="0.25">
      <c r="A16" s="274">
        <v>13</v>
      </c>
      <c r="B16" s="271" t="s">
        <v>139</v>
      </c>
      <c r="C16" s="274">
        <v>7</v>
      </c>
      <c r="D16" s="274">
        <v>1</v>
      </c>
      <c r="E16" s="271" t="s">
        <v>143</v>
      </c>
      <c r="F16" s="274">
        <v>37</v>
      </c>
      <c r="G16" s="274">
        <v>4</v>
      </c>
      <c r="H16" s="274">
        <v>33</v>
      </c>
      <c r="I16" s="271" t="s">
        <v>224</v>
      </c>
      <c r="J16" s="271" t="s">
        <v>224</v>
      </c>
      <c r="K16" s="271" t="s">
        <v>224</v>
      </c>
      <c r="L16" s="274">
        <v>41</v>
      </c>
      <c r="M16" s="274">
        <v>5</v>
      </c>
      <c r="N16" s="274">
        <v>36</v>
      </c>
      <c r="O16" s="274">
        <v>43</v>
      </c>
      <c r="P16" s="274">
        <v>5</v>
      </c>
      <c r="Q16" s="274">
        <v>38</v>
      </c>
      <c r="R16" s="271" t="s">
        <v>224</v>
      </c>
      <c r="S16" s="271" t="s">
        <v>224</v>
      </c>
      <c r="T16" s="271" t="s">
        <v>224</v>
      </c>
      <c r="U16" s="271" t="s">
        <v>224</v>
      </c>
      <c r="V16" s="271" t="s">
        <v>224</v>
      </c>
      <c r="W16" s="271" t="s">
        <v>224</v>
      </c>
    </row>
    <row r="17" spans="1:23" ht="19.600000000000001" customHeight="1" x14ac:dyDescent="0.25">
      <c r="A17" s="274">
        <v>14</v>
      </c>
      <c r="B17" s="271" t="s">
        <v>140</v>
      </c>
      <c r="C17" s="274">
        <v>7</v>
      </c>
      <c r="D17" s="274">
        <v>1</v>
      </c>
      <c r="E17" s="271" t="s">
        <v>142</v>
      </c>
      <c r="F17" s="274">
        <v>143</v>
      </c>
      <c r="G17" s="274">
        <v>16</v>
      </c>
      <c r="H17" s="274">
        <v>127</v>
      </c>
      <c r="I17" s="274">
        <v>158</v>
      </c>
      <c r="J17" s="274">
        <v>17</v>
      </c>
      <c r="K17" s="274">
        <v>141</v>
      </c>
      <c r="L17" s="274">
        <v>117</v>
      </c>
      <c r="M17" s="274">
        <v>13</v>
      </c>
      <c r="N17" s="274">
        <v>104</v>
      </c>
      <c r="O17" s="271" t="s">
        <v>224</v>
      </c>
      <c r="P17" s="271" t="s">
        <v>224</v>
      </c>
      <c r="Q17" s="271" t="s">
        <v>224</v>
      </c>
      <c r="R17" s="271" t="s">
        <v>224</v>
      </c>
      <c r="S17" s="271" t="s">
        <v>224</v>
      </c>
      <c r="T17" s="271" t="s">
        <v>224</v>
      </c>
      <c r="U17" s="274">
        <v>111</v>
      </c>
      <c r="V17" s="274">
        <v>12</v>
      </c>
      <c r="W17" s="274">
        <v>99</v>
      </c>
    </row>
    <row r="18" spans="1:23" ht="19.600000000000001" customHeight="1" x14ac:dyDescent="0.25">
      <c r="A18" s="274">
        <v>15</v>
      </c>
      <c r="B18" s="271" t="s">
        <v>140</v>
      </c>
      <c r="C18" s="274">
        <v>7</v>
      </c>
      <c r="D18" s="274">
        <v>1</v>
      </c>
      <c r="E18" s="271" t="s">
        <v>143</v>
      </c>
      <c r="F18" s="274">
        <v>43</v>
      </c>
      <c r="G18" s="274">
        <v>5</v>
      </c>
      <c r="H18" s="274">
        <v>38</v>
      </c>
      <c r="I18" s="274">
        <v>56</v>
      </c>
      <c r="J18" s="274">
        <v>6</v>
      </c>
      <c r="K18" s="274">
        <v>50</v>
      </c>
      <c r="L18" s="274">
        <v>34</v>
      </c>
      <c r="M18" s="274">
        <v>4</v>
      </c>
      <c r="N18" s="274">
        <v>30</v>
      </c>
      <c r="O18" s="271" t="s">
        <v>224</v>
      </c>
      <c r="P18" s="271" t="s">
        <v>224</v>
      </c>
      <c r="Q18" s="271" t="s">
        <v>224</v>
      </c>
      <c r="R18" s="271" t="s">
        <v>224</v>
      </c>
      <c r="S18" s="271" t="s">
        <v>224</v>
      </c>
      <c r="T18" s="271" t="s">
        <v>224</v>
      </c>
      <c r="U18" s="274">
        <v>16</v>
      </c>
      <c r="V18" s="274">
        <v>2</v>
      </c>
      <c r="W18" s="274">
        <v>14</v>
      </c>
    </row>
    <row r="19" spans="1:23" ht="19.600000000000001" customHeight="1" x14ac:dyDescent="0.25">
      <c r="A19" s="274">
        <v>16</v>
      </c>
      <c r="B19" s="271" t="s">
        <v>140</v>
      </c>
      <c r="C19" s="274">
        <v>7</v>
      </c>
      <c r="D19" s="274">
        <v>2</v>
      </c>
      <c r="E19" s="271" t="s">
        <v>142</v>
      </c>
      <c r="F19" s="271" t="s">
        <v>224</v>
      </c>
      <c r="G19" s="271" t="s">
        <v>224</v>
      </c>
      <c r="H19" s="271" t="s">
        <v>224</v>
      </c>
      <c r="I19" s="271" t="s">
        <v>224</v>
      </c>
      <c r="J19" s="271" t="s">
        <v>224</v>
      </c>
      <c r="K19" s="271" t="s">
        <v>224</v>
      </c>
      <c r="L19" s="271" t="s">
        <v>224</v>
      </c>
      <c r="M19" s="271" t="s">
        <v>224</v>
      </c>
      <c r="N19" s="271" t="s">
        <v>224</v>
      </c>
      <c r="O19" s="271" t="s">
        <v>224</v>
      </c>
      <c r="P19" s="271" t="s">
        <v>224</v>
      </c>
      <c r="Q19" s="271" t="s">
        <v>224</v>
      </c>
      <c r="R19" s="271" t="s">
        <v>224</v>
      </c>
      <c r="S19" s="271" t="s">
        <v>224</v>
      </c>
      <c r="T19" s="271" t="s">
        <v>224</v>
      </c>
      <c r="U19" s="274">
        <v>114</v>
      </c>
      <c r="V19" s="274">
        <v>13</v>
      </c>
      <c r="W19" s="274">
        <v>101</v>
      </c>
    </row>
    <row r="20" spans="1:23" ht="19.600000000000001" customHeight="1" x14ac:dyDescent="0.25">
      <c r="A20" s="274">
        <v>17</v>
      </c>
      <c r="B20" s="271" t="s">
        <v>140</v>
      </c>
      <c r="C20" s="274">
        <v>7</v>
      </c>
      <c r="D20" s="274">
        <v>2</v>
      </c>
      <c r="E20" s="271" t="s">
        <v>143</v>
      </c>
      <c r="F20" s="271" t="s">
        <v>224</v>
      </c>
      <c r="G20" s="271" t="s">
        <v>224</v>
      </c>
      <c r="H20" s="271" t="s">
        <v>224</v>
      </c>
      <c r="I20" s="271" t="s">
        <v>224</v>
      </c>
      <c r="J20" s="271" t="s">
        <v>224</v>
      </c>
      <c r="K20" s="271" t="s">
        <v>224</v>
      </c>
      <c r="L20" s="271" t="s">
        <v>224</v>
      </c>
      <c r="M20" s="271" t="s">
        <v>224</v>
      </c>
      <c r="N20" s="271" t="s">
        <v>224</v>
      </c>
      <c r="O20" s="271" t="s">
        <v>224</v>
      </c>
      <c r="P20" s="271" t="s">
        <v>224</v>
      </c>
      <c r="Q20" s="271" t="s">
        <v>224</v>
      </c>
      <c r="R20" s="271" t="s">
        <v>224</v>
      </c>
      <c r="S20" s="271" t="s">
        <v>224</v>
      </c>
      <c r="T20" s="271" t="s">
        <v>224</v>
      </c>
      <c r="U20" s="274">
        <v>42</v>
      </c>
      <c r="V20" s="274">
        <v>5</v>
      </c>
      <c r="W20" s="274">
        <v>37</v>
      </c>
    </row>
    <row r="21" spans="1:23" ht="19.600000000000001" customHeight="1" x14ac:dyDescent="0.25">
      <c r="A21" s="274">
        <v>18</v>
      </c>
      <c r="B21" s="271" t="s">
        <v>132</v>
      </c>
      <c r="C21" s="274">
        <v>8</v>
      </c>
      <c r="D21" s="274">
        <v>3</v>
      </c>
      <c r="E21" s="271" t="s">
        <v>142</v>
      </c>
      <c r="F21" s="274">
        <v>106</v>
      </c>
      <c r="G21" s="274">
        <v>12</v>
      </c>
      <c r="H21" s="274">
        <v>94</v>
      </c>
      <c r="I21" s="274">
        <v>112</v>
      </c>
      <c r="J21" s="274">
        <v>12</v>
      </c>
      <c r="K21" s="274">
        <v>100</v>
      </c>
      <c r="L21" s="274">
        <v>105</v>
      </c>
      <c r="M21" s="274">
        <v>12</v>
      </c>
      <c r="N21" s="274">
        <v>93</v>
      </c>
      <c r="O21" s="271" t="s">
        <v>224</v>
      </c>
      <c r="P21" s="271" t="s">
        <v>224</v>
      </c>
      <c r="Q21" s="271" t="s">
        <v>224</v>
      </c>
      <c r="R21" s="271" t="s">
        <v>224</v>
      </c>
      <c r="S21" s="271" t="s">
        <v>224</v>
      </c>
      <c r="T21" s="271" t="s">
        <v>224</v>
      </c>
      <c r="U21" s="271" t="s">
        <v>224</v>
      </c>
      <c r="V21" s="271" t="s">
        <v>224</v>
      </c>
      <c r="W21" s="271" t="s">
        <v>224</v>
      </c>
    </row>
    <row r="22" spans="1:23" ht="19.600000000000001" customHeight="1" x14ac:dyDescent="0.25">
      <c r="A22" s="274">
        <v>19</v>
      </c>
      <c r="B22" s="271" t="s">
        <v>132</v>
      </c>
      <c r="C22" s="274">
        <v>8</v>
      </c>
      <c r="D22" s="274">
        <v>3</v>
      </c>
      <c r="E22" s="271" t="s">
        <v>143</v>
      </c>
      <c r="F22" s="274">
        <v>53</v>
      </c>
      <c r="G22" s="274">
        <v>6</v>
      </c>
      <c r="H22" s="274">
        <v>47</v>
      </c>
      <c r="I22" s="274">
        <v>61</v>
      </c>
      <c r="J22" s="274">
        <v>7</v>
      </c>
      <c r="K22" s="274">
        <v>54</v>
      </c>
      <c r="L22" s="274">
        <v>60</v>
      </c>
      <c r="M22" s="274">
        <v>7</v>
      </c>
      <c r="N22" s="274">
        <v>53</v>
      </c>
      <c r="O22" s="271" t="s">
        <v>224</v>
      </c>
      <c r="P22" s="271" t="s">
        <v>224</v>
      </c>
      <c r="Q22" s="271" t="s">
        <v>224</v>
      </c>
      <c r="R22" s="271" t="s">
        <v>224</v>
      </c>
      <c r="S22" s="271" t="s">
        <v>224</v>
      </c>
      <c r="T22" s="271" t="s">
        <v>224</v>
      </c>
      <c r="U22" s="271" t="s">
        <v>224</v>
      </c>
      <c r="V22" s="271" t="s">
        <v>224</v>
      </c>
      <c r="W22" s="271" t="s">
        <v>224</v>
      </c>
    </row>
    <row r="23" spans="1:23" ht="19.600000000000001" customHeight="1" x14ac:dyDescent="0.25">
      <c r="A23" s="274">
        <v>20</v>
      </c>
      <c r="B23" s="271" t="s">
        <v>133</v>
      </c>
      <c r="C23" s="274">
        <v>8</v>
      </c>
      <c r="D23" s="274">
        <v>3</v>
      </c>
      <c r="E23" s="271" t="s">
        <v>142</v>
      </c>
      <c r="F23" s="274">
        <v>156</v>
      </c>
      <c r="G23" s="274">
        <v>17</v>
      </c>
      <c r="H23" s="274">
        <v>139</v>
      </c>
      <c r="I23" s="274">
        <v>139</v>
      </c>
      <c r="J23" s="274">
        <v>15</v>
      </c>
      <c r="K23" s="274">
        <v>124</v>
      </c>
      <c r="L23" s="274">
        <v>162</v>
      </c>
      <c r="M23" s="274">
        <v>18</v>
      </c>
      <c r="N23" s="274">
        <v>144</v>
      </c>
      <c r="O23" s="271" t="s">
        <v>224</v>
      </c>
      <c r="P23" s="271" t="s">
        <v>224</v>
      </c>
      <c r="Q23" s="271" t="s">
        <v>224</v>
      </c>
      <c r="R23" s="271" t="s">
        <v>224</v>
      </c>
      <c r="S23" s="271" t="s">
        <v>224</v>
      </c>
      <c r="T23" s="271" t="s">
        <v>224</v>
      </c>
      <c r="U23" s="271" t="s">
        <v>224</v>
      </c>
      <c r="V23" s="271" t="s">
        <v>224</v>
      </c>
      <c r="W23" s="271" t="s">
        <v>224</v>
      </c>
    </row>
    <row r="24" spans="1:23" ht="19.600000000000001" customHeight="1" x14ac:dyDescent="0.25">
      <c r="A24" s="274">
        <v>21</v>
      </c>
      <c r="B24" s="271" t="s">
        <v>133</v>
      </c>
      <c r="C24" s="274">
        <v>8</v>
      </c>
      <c r="D24" s="274">
        <v>3</v>
      </c>
      <c r="E24" s="271" t="s">
        <v>143</v>
      </c>
      <c r="F24" s="274">
        <v>57</v>
      </c>
      <c r="G24" s="274">
        <v>6</v>
      </c>
      <c r="H24" s="274">
        <v>51</v>
      </c>
      <c r="I24" s="274">
        <v>47</v>
      </c>
      <c r="J24" s="274">
        <v>5</v>
      </c>
      <c r="K24" s="274">
        <v>42</v>
      </c>
      <c r="L24" s="274">
        <v>48</v>
      </c>
      <c r="M24" s="274">
        <v>5</v>
      </c>
      <c r="N24" s="274">
        <v>43</v>
      </c>
      <c r="O24" s="271" t="s">
        <v>224</v>
      </c>
      <c r="P24" s="271" t="s">
        <v>224</v>
      </c>
      <c r="Q24" s="271" t="s">
        <v>224</v>
      </c>
      <c r="R24" s="271" t="s">
        <v>224</v>
      </c>
      <c r="S24" s="271" t="s">
        <v>224</v>
      </c>
      <c r="T24" s="271" t="s">
        <v>224</v>
      </c>
      <c r="U24" s="271" t="s">
        <v>224</v>
      </c>
      <c r="V24" s="271" t="s">
        <v>224</v>
      </c>
      <c r="W24" s="271" t="s">
        <v>224</v>
      </c>
    </row>
    <row r="25" spans="1:23" ht="19.600000000000001" customHeight="1" x14ac:dyDescent="0.25">
      <c r="A25" s="274">
        <v>22</v>
      </c>
      <c r="B25" s="271" t="s">
        <v>134</v>
      </c>
      <c r="C25" s="274">
        <v>8</v>
      </c>
      <c r="D25" s="274">
        <v>3</v>
      </c>
      <c r="E25" s="271" t="s">
        <v>142</v>
      </c>
      <c r="F25" s="274">
        <v>114</v>
      </c>
      <c r="G25" s="274">
        <v>13</v>
      </c>
      <c r="H25" s="274">
        <v>101</v>
      </c>
      <c r="I25" s="274">
        <v>131</v>
      </c>
      <c r="J25" s="274">
        <v>14</v>
      </c>
      <c r="K25" s="274">
        <v>117</v>
      </c>
      <c r="L25" s="274">
        <v>171</v>
      </c>
      <c r="M25" s="274">
        <v>19</v>
      </c>
      <c r="N25" s="274">
        <v>152</v>
      </c>
      <c r="O25" s="271" t="s">
        <v>224</v>
      </c>
      <c r="P25" s="271" t="s">
        <v>224</v>
      </c>
      <c r="Q25" s="271" t="s">
        <v>224</v>
      </c>
      <c r="R25" s="271" t="s">
        <v>224</v>
      </c>
      <c r="S25" s="271" t="s">
        <v>224</v>
      </c>
      <c r="T25" s="271" t="s">
        <v>224</v>
      </c>
      <c r="U25" s="271" t="s">
        <v>224</v>
      </c>
      <c r="V25" s="271" t="s">
        <v>224</v>
      </c>
      <c r="W25" s="271" t="s">
        <v>224</v>
      </c>
    </row>
    <row r="26" spans="1:23" ht="19.600000000000001" customHeight="1" x14ac:dyDescent="0.25">
      <c r="A26" s="274">
        <v>23</v>
      </c>
      <c r="B26" s="271" t="s">
        <v>134</v>
      </c>
      <c r="C26" s="274">
        <v>8</v>
      </c>
      <c r="D26" s="274">
        <v>3</v>
      </c>
      <c r="E26" s="271" t="s">
        <v>143</v>
      </c>
      <c r="F26" s="274">
        <v>51</v>
      </c>
      <c r="G26" s="274">
        <v>6</v>
      </c>
      <c r="H26" s="274">
        <v>45</v>
      </c>
      <c r="I26" s="274">
        <v>46</v>
      </c>
      <c r="J26" s="274">
        <v>5</v>
      </c>
      <c r="K26" s="274">
        <v>41</v>
      </c>
      <c r="L26" s="274">
        <v>59</v>
      </c>
      <c r="M26" s="274">
        <v>7</v>
      </c>
      <c r="N26" s="274">
        <v>52</v>
      </c>
      <c r="O26" s="271" t="s">
        <v>224</v>
      </c>
      <c r="P26" s="271" t="s">
        <v>224</v>
      </c>
      <c r="Q26" s="271" t="s">
        <v>224</v>
      </c>
      <c r="R26" s="271" t="s">
        <v>224</v>
      </c>
      <c r="S26" s="271" t="s">
        <v>224</v>
      </c>
      <c r="T26" s="271" t="s">
        <v>224</v>
      </c>
      <c r="U26" s="271" t="s">
        <v>224</v>
      </c>
      <c r="V26" s="271" t="s">
        <v>224</v>
      </c>
      <c r="W26" s="271" t="s">
        <v>224</v>
      </c>
    </row>
    <row r="27" spans="1:23" ht="19.600000000000001" customHeight="1" x14ac:dyDescent="0.25">
      <c r="A27" s="274">
        <v>24</v>
      </c>
      <c r="B27" s="271" t="s">
        <v>135</v>
      </c>
      <c r="C27" s="274">
        <v>8</v>
      </c>
      <c r="D27" s="274">
        <v>3</v>
      </c>
      <c r="E27" s="271" t="s">
        <v>142</v>
      </c>
      <c r="F27" s="274">
        <v>126</v>
      </c>
      <c r="G27" s="274">
        <v>14</v>
      </c>
      <c r="H27" s="274">
        <v>112</v>
      </c>
      <c r="I27" s="274">
        <v>114</v>
      </c>
      <c r="J27" s="274">
        <v>13</v>
      </c>
      <c r="K27" s="274">
        <v>101</v>
      </c>
      <c r="L27" s="274">
        <v>115</v>
      </c>
      <c r="M27" s="274">
        <v>13</v>
      </c>
      <c r="N27" s="274">
        <v>102</v>
      </c>
      <c r="O27" s="271" t="s">
        <v>224</v>
      </c>
      <c r="P27" s="271" t="s">
        <v>224</v>
      </c>
      <c r="Q27" s="271" t="s">
        <v>224</v>
      </c>
      <c r="R27" s="271" t="s">
        <v>224</v>
      </c>
      <c r="S27" s="271" t="s">
        <v>224</v>
      </c>
      <c r="T27" s="271" t="s">
        <v>224</v>
      </c>
      <c r="U27" s="271" t="s">
        <v>224</v>
      </c>
      <c r="V27" s="271" t="s">
        <v>224</v>
      </c>
      <c r="W27" s="271" t="s">
        <v>224</v>
      </c>
    </row>
    <row r="28" spans="1:23" ht="19.600000000000001" customHeight="1" x14ac:dyDescent="0.25">
      <c r="A28" s="274">
        <v>25</v>
      </c>
      <c r="B28" s="271" t="s">
        <v>135</v>
      </c>
      <c r="C28" s="274">
        <v>8</v>
      </c>
      <c r="D28" s="274">
        <v>3</v>
      </c>
      <c r="E28" s="271" t="s">
        <v>143</v>
      </c>
      <c r="F28" s="274">
        <v>46</v>
      </c>
      <c r="G28" s="274">
        <v>5</v>
      </c>
      <c r="H28" s="274">
        <v>41</v>
      </c>
      <c r="I28" s="274">
        <v>54</v>
      </c>
      <c r="J28" s="274">
        <v>6</v>
      </c>
      <c r="K28" s="274">
        <v>48</v>
      </c>
      <c r="L28" s="274">
        <v>45</v>
      </c>
      <c r="M28" s="274">
        <v>5</v>
      </c>
      <c r="N28" s="274">
        <v>40</v>
      </c>
      <c r="O28" s="271" t="s">
        <v>224</v>
      </c>
      <c r="P28" s="271" t="s">
        <v>224</v>
      </c>
      <c r="Q28" s="271" t="s">
        <v>224</v>
      </c>
      <c r="R28" s="271" t="s">
        <v>224</v>
      </c>
      <c r="S28" s="271" t="s">
        <v>224</v>
      </c>
      <c r="T28" s="271" t="s">
        <v>224</v>
      </c>
      <c r="U28" s="271" t="s">
        <v>224</v>
      </c>
      <c r="V28" s="271" t="s">
        <v>224</v>
      </c>
      <c r="W28" s="271" t="s">
        <v>224</v>
      </c>
    </row>
    <row r="29" spans="1:23" ht="19.600000000000001" customHeight="1" x14ac:dyDescent="0.25">
      <c r="A29" s="274">
        <v>26</v>
      </c>
      <c r="B29" s="271" t="s">
        <v>136</v>
      </c>
      <c r="C29" s="274">
        <v>8</v>
      </c>
      <c r="D29" s="274">
        <v>3</v>
      </c>
      <c r="E29" s="271" t="s">
        <v>142</v>
      </c>
      <c r="F29" s="274">
        <v>116</v>
      </c>
      <c r="G29" s="274">
        <v>13</v>
      </c>
      <c r="H29" s="274">
        <v>103</v>
      </c>
      <c r="I29" s="274">
        <v>129</v>
      </c>
      <c r="J29" s="274">
        <v>14</v>
      </c>
      <c r="K29" s="274">
        <v>115</v>
      </c>
      <c r="L29" s="274">
        <v>138</v>
      </c>
      <c r="M29" s="274">
        <v>15</v>
      </c>
      <c r="N29" s="274">
        <v>123</v>
      </c>
      <c r="O29" s="271" t="s">
        <v>224</v>
      </c>
      <c r="P29" s="271" t="s">
        <v>224</v>
      </c>
      <c r="Q29" s="271" t="s">
        <v>224</v>
      </c>
      <c r="R29" s="274">
        <v>130</v>
      </c>
      <c r="S29" s="274">
        <v>14</v>
      </c>
      <c r="T29" s="274">
        <v>116</v>
      </c>
      <c r="U29" s="271" t="s">
        <v>224</v>
      </c>
      <c r="V29" s="271" t="s">
        <v>224</v>
      </c>
      <c r="W29" s="271" t="s">
        <v>224</v>
      </c>
    </row>
    <row r="30" spans="1:23" ht="19.600000000000001" customHeight="1" x14ac:dyDescent="0.25">
      <c r="A30" s="274">
        <v>27</v>
      </c>
      <c r="B30" s="271" t="s">
        <v>137</v>
      </c>
      <c r="C30" s="274">
        <v>8</v>
      </c>
      <c r="D30" s="274">
        <v>3</v>
      </c>
      <c r="E30" s="271" t="s">
        <v>142</v>
      </c>
      <c r="F30" s="274">
        <v>71</v>
      </c>
      <c r="G30" s="274">
        <v>8</v>
      </c>
      <c r="H30" s="274">
        <v>63</v>
      </c>
      <c r="I30" s="274">
        <v>73</v>
      </c>
      <c r="J30" s="274">
        <v>8</v>
      </c>
      <c r="K30" s="274">
        <v>65</v>
      </c>
      <c r="L30" s="274">
        <v>77</v>
      </c>
      <c r="M30" s="274">
        <v>8</v>
      </c>
      <c r="N30" s="274">
        <v>69</v>
      </c>
      <c r="O30" s="271" t="s">
        <v>224</v>
      </c>
      <c r="P30" s="271" t="s">
        <v>224</v>
      </c>
      <c r="Q30" s="271" t="s">
        <v>224</v>
      </c>
      <c r="R30" s="271" t="s">
        <v>224</v>
      </c>
      <c r="S30" s="271" t="s">
        <v>224</v>
      </c>
      <c r="T30" s="271" t="s">
        <v>224</v>
      </c>
      <c r="U30" s="271" t="s">
        <v>224</v>
      </c>
      <c r="V30" s="271" t="s">
        <v>224</v>
      </c>
      <c r="W30" s="271" t="s">
        <v>224</v>
      </c>
    </row>
    <row r="31" spans="1:23" ht="19.600000000000001" customHeight="1" x14ac:dyDescent="0.25">
      <c r="A31" s="274">
        <v>28</v>
      </c>
      <c r="B31" s="271" t="s">
        <v>138</v>
      </c>
      <c r="C31" s="274">
        <v>8</v>
      </c>
      <c r="D31" s="274">
        <v>3</v>
      </c>
      <c r="E31" s="271" t="s">
        <v>142</v>
      </c>
      <c r="F31" s="274">
        <v>136</v>
      </c>
      <c r="G31" s="274">
        <v>15</v>
      </c>
      <c r="H31" s="274">
        <v>121</v>
      </c>
      <c r="I31" s="274">
        <v>147</v>
      </c>
      <c r="J31" s="274">
        <v>16</v>
      </c>
      <c r="K31" s="274">
        <v>131</v>
      </c>
      <c r="L31" s="271" t="s">
        <v>224</v>
      </c>
      <c r="M31" s="271" t="s">
        <v>224</v>
      </c>
      <c r="N31" s="271" t="s">
        <v>224</v>
      </c>
      <c r="O31" s="271" t="s">
        <v>224</v>
      </c>
      <c r="P31" s="271" t="s">
        <v>224</v>
      </c>
      <c r="Q31" s="271" t="s">
        <v>224</v>
      </c>
      <c r="R31" s="274">
        <v>159</v>
      </c>
      <c r="S31" s="274">
        <v>18</v>
      </c>
      <c r="T31" s="274">
        <v>141</v>
      </c>
      <c r="U31" s="274">
        <v>156</v>
      </c>
      <c r="V31" s="274">
        <v>17</v>
      </c>
      <c r="W31" s="274">
        <v>139</v>
      </c>
    </row>
    <row r="32" spans="1:23" ht="19.600000000000001" customHeight="1" x14ac:dyDescent="0.25">
      <c r="A32" s="274">
        <v>29</v>
      </c>
      <c r="B32" s="271" t="s">
        <v>139</v>
      </c>
      <c r="C32" s="274">
        <v>8</v>
      </c>
      <c r="D32" s="274">
        <v>3</v>
      </c>
      <c r="E32" s="271" t="s">
        <v>142</v>
      </c>
      <c r="F32" s="274">
        <v>94</v>
      </c>
      <c r="G32" s="274">
        <v>10</v>
      </c>
      <c r="H32" s="274">
        <v>84</v>
      </c>
      <c r="I32" s="271" t="s">
        <v>224</v>
      </c>
      <c r="J32" s="271" t="s">
        <v>224</v>
      </c>
      <c r="K32" s="271" t="s">
        <v>224</v>
      </c>
      <c r="L32" s="274">
        <v>105</v>
      </c>
      <c r="M32" s="274">
        <v>12</v>
      </c>
      <c r="N32" s="274">
        <v>93</v>
      </c>
      <c r="O32" s="274">
        <v>100</v>
      </c>
      <c r="P32" s="274">
        <v>11</v>
      </c>
      <c r="Q32" s="274">
        <v>89</v>
      </c>
      <c r="R32" s="271" t="s">
        <v>224</v>
      </c>
      <c r="S32" s="271" t="s">
        <v>224</v>
      </c>
      <c r="T32" s="271" t="s">
        <v>224</v>
      </c>
      <c r="U32" s="271" t="s">
        <v>224</v>
      </c>
      <c r="V32" s="271" t="s">
        <v>224</v>
      </c>
      <c r="W32" s="271" t="s">
        <v>224</v>
      </c>
    </row>
    <row r="33" spans="1:23" ht="19.600000000000001" customHeight="1" x14ac:dyDescent="0.25">
      <c r="A33" s="274">
        <v>30</v>
      </c>
      <c r="B33" s="271" t="s">
        <v>139</v>
      </c>
      <c r="C33" s="274">
        <v>8</v>
      </c>
      <c r="D33" s="274">
        <v>3</v>
      </c>
      <c r="E33" s="271" t="s">
        <v>143</v>
      </c>
      <c r="F33" s="274">
        <v>37</v>
      </c>
      <c r="G33" s="274">
        <v>4</v>
      </c>
      <c r="H33" s="274">
        <v>33</v>
      </c>
      <c r="I33" s="271" t="s">
        <v>224</v>
      </c>
      <c r="J33" s="271" t="s">
        <v>224</v>
      </c>
      <c r="K33" s="271" t="s">
        <v>224</v>
      </c>
      <c r="L33" s="274">
        <v>45</v>
      </c>
      <c r="M33" s="274">
        <v>5</v>
      </c>
      <c r="N33" s="274">
        <v>40</v>
      </c>
      <c r="O33" s="274">
        <v>40</v>
      </c>
      <c r="P33" s="274">
        <v>4</v>
      </c>
      <c r="Q33" s="274">
        <v>36</v>
      </c>
      <c r="R33" s="271" t="s">
        <v>224</v>
      </c>
      <c r="S33" s="271" t="s">
        <v>224</v>
      </c>
      <c r="T33" s="271" t="s">
        <v>224</v>
      </c>
      <c r="U33" s="271" t="s">
        <v>224</v>
      </c>
      <c r="V33" s="271" t="s">
        <v>224</v>
      </c>
      <c r="W33" s="271" t="s">
        <v>224</v>
      </c>
    </row>
    <row r="34" spans="1:23" ht="19.600000000000001" customHeight="1" x14ac:dyDescent="0.25">
      <c r="A34" s="274">
        <v>31</v>
      </c>
      <c r="B34" s="271" t="s">
        <v>140</v>
      </c>
      <c r="C34" s="274">
        <v>8</v>
      </c>
      <c r="D34" s="274">
        <v>3</v>
      </c>
      <c r="E34" s="271" t="s">
        <v>142</v>
      </c>
      <c r="F34" s="274">
        <v>150</v>
      </c>
      <c r="G34" s="274">
        <v>17</v>
      </c>
      <c r="H34" s="274">
        <v>133</v>
      </c>
      <c r="I34" s="274">
        <v>147</v>
      </c>
      <c r="J34" s="274">
        <v>16</v>
      </c>
      <c r="K34" s="274">
        <v>131</v>
      </c>
      <c r="L34" s="274">
        <v>177</v>
      </c>
      <c r="M34" s="274">
        <v>19</v>
      </c>
      <c r="N34" s="274">
        <v>158</v>
      </c>
      <c r="O34" s="271" t="s">
        <v>224</v>
      </c>
      <c r="P34" s="271" t="s">
        <v>224</v>
      </c>
      <c r="Q34" s="271" t="s">
        <v>224</v>
      </c>
      <c r="R34" s="271" t="s">
        <v>224</v>
      </c>
      <c r="S34" s="271" t="s">
        <v>224</v>
      </c>
      <c r="T34" s="271" t="s">
        <v>224</v>
      </c>
      <c r="U34" s="274">
        <v>124</v>
      </c>
      <c r="V34" s="274">
        <v>14</v>
      </c>
      <c r="W34" s="274">
        <v>110</v>
      </c>
    </row>
    <row r="35" spans="1:23" ht="19.600000000000001" customHeight="1" x14ac:dyDescent="0.25">
      <c r="A35" s="274">
        <v>32</v>
      </c>
      <c r="B35" s="271" t="s">
        <v>140</v>
      </c>
      <c r="C35" s="274">
        <v>8</v>
      </c>
      <c r="D35" s="274">
        <v>3</v>
      </c>
      <c r="E35" s="271" t="s">
        <v>143</v>
      </c>
      <c r="F35" s="274">
        <v>52</v>
      </c>
      <c r="G35" s="274">
        <v>6</v>
      </c>
      <c r="H35" s="274">
        <v>46</v>
      </c>
      <c r="I35" s="274">
        <v>49</v>
      </c>
      <c r="J35" s="274">
        <v>5</v>
      </c>
      <c r="K35" s="274">
        <v>44</v>
      </c>
      <c r="L35" s="274">
        <v>44</v>
      </c>
      <c r="M35" s="274">
        <v>5</v>
      </c>
      <c r="N35" s="274">
        <v>39</v>
      </c>
      <c r="O35" s="271" t="s">
        <v>224</v>
      </c>
      <c r="P35" s="271" t="s">
        <v>224</v>
      </c>
      <c r="Q35" s="271" t="s">
        <v>224</v>
      </c>
      <c r="R35" s="271" t="s">
        <v>224</v>
      </c>
      <c r="S35" s="271" t="s">
        <v>224</v>
      </c>
      <c r="T35" s="271" t="s">
        <v>224</v>
      </c>
      <c r="U35" s="274">
        <v>21</v>
      </c>
      <c r="V35" s="274">
        <v>2</v>
      </c>
      <c r="W35" s="274">
        <v>19</v>
      </c>
    </row>
    <row r="36" spans="1:23" ht="19.600000000000001" customHeight="1" x14ac:dyDescent="0.25">
      <c r="A36" s="274">
        <v>33</v>
      </c>
      <c r="B36" s="271" t="s">
        <v>140</v>
      </c>
      <c r="C36" s="274">
        <v>8</v>
      </c>
      <c r="D36" s="274">
        <v>4</v>
      </c>
      <c r="E36" s="271" t="s">
        <v>142</v>
      </c>
      <c r="F36" s="271" t="s">
        <v>224</v>
      </c>
      <c r="G36" s="271" t="s">
        <v>224</v>
      </c>
      <c r="H36" s="271" t="s">
        <v>224</v>
      </c>
      <c r="I36" s="271" t="s">
        <v>224</v>
      </c>
      <c r="J36" s="271" t="s">
        <v>224</v>
      </c>
      <c r="K36" s="271" t="s">
        <v>224</v>
      </c>
      <c r="L36" s="271" t="s">
        <v>224</v>
      </c>
      <c r="M36" s="271" t="s">
        <v>224</v>
      </c>
      <c r="N36" s="271" t="s">
        <v>224</v>
      </c>
      <c r="O36" s="271" t="s">
        <v>224</v>
      </c>
      <c r="P36" s="271" t="s">
        <v>224</v>
      </c>
      <c r="Q36" s="271" t="s">
        <v>224</v>
      </c>
      <c r="R36" s="271" t="s">
        <v>224</v>
      </c>
      <c r="S36" s="271" t="s">
        <v>224</v>
      </c>
      <c r="T36" s="271" t="s">
        <v>224</v>
      </c>
      <c r="U36" s="274">
        <v>180</v>
      </c>
      <c r="V36" s="274">
        <v>20</v>
      </c>
      <c r="W36" s="274">
        <v>160</v>
      </c>
    </row>
    <row r="37" spans="1:23" ht="19.600000000000001" customHeight="1" x14ac:dyDescent="0.25">
      <c r="A37" s="274">
        <v>34</v>
      </c>
      <c r="B37" s="271" t="s">
        <v>140</v>
      </c>
      <c r="C37" s="274">
        <v>8</v>
      </c>
      <c r="D37" s="274">
        <v>4</v>
      </c>
      <c r="E37" s="271" t="s">
        <v>143</v>
      </c>
      <c r="F37" s="271" t="s">
        <v>224</v>
      </c>
      <c r="G37" s="271" t="s">
        <v>224</v>
      </c>
      <c r="H37" s="271" t="s">
        <v>224</v>
      </c>
      <c r="I37" s="271" t="s">
        <v>224</v>
      </c>
      <c r="J37" s="271" t="s">
        <v>224</v>
      </c>
      <c r="K37" s="271" t="s">
        <v>224</v>
      </c>
      <c r="L37" s="271" t="s">
        <v>224</v>
      </c>
      <c r="M37" s="271" t="s">
        <v>224</v>
      </c>
      <c r="N37" s="271" t="s">
        <v>224</v>
      </c>
      <c r="O37" s="271" t="s">
        <v>224</v>
      </c>
      <c r="P37" s="271" t="s">
        <v>224</v>
      </c>
      <c r="Q37" s="271" t="s">
        <v>224</v>
      </c>
      <c r="R37" s="271" t="s">
        <v>224</v>
      </c>
      <c r="S37" s="271" t="s">
        <v>224</v>
      </c>
      <c r="T37" s="271" t="s">
        <v>224</v>
      </c>
      <c r="U37" s="274">
        <v>50</v>
      </c>
      <c r="V37" s="274">
        <v>6</v>
      </c>
      <c r="W37" s="274">
        <v>44</v>
      </c>
    </row>
    <row r="38" spans="1:23" ht="19.600000000000001" customHeight="1" x14ac:dyDescent="0.25">
      <c r="A38" s="274">
        <v>35</v>
      </c>
      <c r="B38" s="271" t="s">
        <v>132</v>
      </c>
      <c r="C38" s="274">
        <v>9</v>
      </c>
      <c r="D38" s="274">
        <v>5</v>
      </c>
      <c r="E38" s="271" t="s">
        <v>142</v>
      </c>
      <c r="F38" s="274">
        <v>98</v>
      </c>
      <c r="G38" s="274">
        <v>11</v>
      </c>
      <c r="H38" s="274">
        <v>87</v>
      </c>
      <c r="I38" s="274">
        <v>104</v>
      </c>
      <c r="J38" s="274">
        <v>11</v>
      </c>
      <c r="K38" s="274">
        <v>93</v>
      </c>
      <c r="L38" s="274">
        <v>129</v>
      </c>
      <c r="M38" s="274">
        <v>14</v>
      </c>
      <c r="N38" s="274">
        <v>115</v>
      </c>
      <c r="O38" s="271" t="s">
        <v>224</v>
      </c>
      <c r="P38" s="271" t="s">
        <v>224</v>
      </c>
      <c r="Q38" s="271" t="s">
        <v>224</v>
      </c>
      <c r="R38" s="271" t="s">
        <v>224</v>
      </c>
      <c r="S38" s="271" t="s">
        <v>224</v>
      </c>
      <c r="T38" s="271" t="s">
        <v>224</v>
      </c>
      <c r="U38" s="271" t="s">
        <v>224</v>
      </c>
      <c r="V38" s="271" t="s">
        <v>224</v>
      </c>
      <c r="W38" s="271" t="s">
        <v>224</v>
      </c>
    </row>
    <row r="39" spans="1:23" ht="19.600000000000001" customHeight="1" x14ac:dyDescent="0.25">
      <c r="A39" s="274">
        <v>36</v>
      </c>
      <c r="B39" s="271" t="s">
        <v>132</v>
      </c>
      <c r="C39" s="274">
        <v>9</v>
      </c>
      <c r="D39" s="274">
        <v>5</v>
      </c>
      <c r="E39" s="271" t="s">
        <v>143</v>
      </c>
      <c r="F39" s="274">
        <v>47</v>
      </c>
      <c r="G39" s="274">
        <v>5</v>
      </c>
      <c r="H39" s="274">
        <v>42</v>
      </c>
      <c r="I39" s="274">
        <v>55</v>
      </c>
      <c r="J39" s="274">
        <v>6</v>
      </c>
      <c r="K39" s="274">
        <v>49</v>
      </c>
      <c r="L39" s="274">
        <v>60</v>
      </c>
      <c r="M39" s="274">
        <v>7</v>
      </c>
      <c r="N39" s="274">
        <v>53</v>
      </c>
      <c r="O39" s="271" t="s">
        <v>224</v>
      </c>
      <c r="P39" s="271" t="s">
        <v>224</v>
      </c>
      <c r="Q39" s="271" t="s">
        <v>224</v>
      </c>
      <c r="R39" s="271" t="s">
        <v>224</v>
      </c>
      <c r="S39" s="271" t="s">
        <v>224</v>
      </c>
      <c r="T39" s="271" t="s">
        <v>224</v>
      </c>
      <c r="U39" s="271" t="s">
        <v>224</v>
      </c>
      <c r="V39" s="271" t="s">
        <v>224</v>
      </c>
      <c r="W39" s="271" t="s">
        <v>224</v>
      </c>
    </row>
    <row r="40" spans="1:23" ht="19.600000000000001" customHeight="1" x14ac:dyDescent="0.25">
      <c r="A40" s="274">
        <v>37</v>
      </c>
      <c r="B40" s="271" t="s">
        <v>133</v>
      </c>
      <c r="C40" s="274">
        <v>9</v>
      </c>
      <c r="D40" s="274">
        <v>5</v>
      </c>
      <c r="E40" s="271" t="s">
        <v>142</v>
      </c>
      <c r="F40" s="274">
        <v>132</v>
      </c>
      <c r="G40" s="274">
        <v>15</v>
      </c>
      <c r="H40" s="274">
        <v>117</v>
      </c>
      <c r="I40" s="274">
        <v>122</v>
      </c>
      <c r="J40" s="274">
        <v>13</v>
      </c>
      <c r="K40" s="274">
        <v>109</v>
      </c>
      <c r="L40" s="274">
        <v>131</v>
      </c>
      <c r="M40" s="274">
        <v>14</v>
      </c>
      <c r="N40" s="274">
        <v>117</v>
      </c>
      <c r="O40" s="271" t="s">
        <v>224</v>
      </c>
      <c r="P40" s="271" t="s">
        <v>224</v>
      </c>
      <c r="Q40" s="271" t="s">
        <v>224</v>
      </c>
      <c r="R40" s="271" t="s">
        <v>224</v>
      </c>
      <c r="S40" s="271" t="s">
        <v>224</v>
      </c>
      <c r="T40" s="271" t="s">
        <v>224</v>
      </c>
      <c r="U40" s="271" t="s">
        <v>224</v>
      </c>
      <c r="V40" s="271" t="s">
        <v>224</v>
      </c>
      <c r="W40" s="271" t="s">
        <v>224</v>
      </c>
    </row>
    <row r="41" spans="1:23" ht="19.600000000000001" customHeight="1" x14ac:dyDescent="0.25">
      <c r="A41" s="274">
        <v>38</v>
      </c>
      <c r="B41" s="271" t="s">
        <v>133</v>
      </c>
      <c r="C41" s="274">
        <v>9</v>
      </c>
      <c r="D41" s="274">
        <v>5</v>
      </c>
      <c r="E41" s="271" t="s">
        <v>143</v>
      </c>
      <c r="F41" s="274">
        <v>51</v>
      </c>
      <c r="G41" s="274">
        <v>6</v>
      </c>
      <c r="H41" s="274">
        <v>45</v>
      </c>
      <c r="I41" s="274">
        <v>34</v>
      </c>
      <c r="J41" s="274">
        <v>4</v>
      </c>
      <c r="K41" s="274">
        <v>30</v>
      </c>
      <c r="L41" s="274">
        <v>44</v>
      </c>
      <c r="M41" s="274">
        <v>5</v>
      </c>
      <c r="N41" s="274">
        <v>39</v>
      </c>
      <c r="O41" s="271" t="s">
        <v>224</v>
      </c>
      <c r="P41" s="271" t="s">
        <v>224</v>
      </c>
      <c r="Q41" s="271" t="s">
        <v>224</v>
      </c>
      <c r="R41" s="271" t="s">
        <v>224</v>
      </c>
      <c r="S41" s="271" t="s">
        <v>224</v>
      </c>
      <c r="T41" s="271" t="s">
        <v>224</v>
      </c>
      <c r="U41" s="271" t="s">
        <v>224</v>
      </c>
      <c r="V41" s="271" t="s">
        <v>224</v>
      </c>
      <c r="W41" s="271" t="s">
        <v>224</v>
      </c>
    </row>
    <row r="42" spans="1:23" ht="19.600000000000001" customHeight="1" x14ac:dyDescent="0.25">
      <c r="A42" s="274">
        <v>39</v>
      </c>
      <c r="B42" s="271" t="s">
        <v>134</v>
      </c>
      <c r="C42" s="274">
        <v>9</v>
      </c>
      <c r="D42" s="274">
        <v>5</v>
      </c>
      <c r="E42" s="271" t="s">
        <v>142</v>
      </c>
      <c r="F42" s="274">
        <v>114</v>
      </c>
      <c r="G42" s="274">
        <v>13</v>
      </c>
      <c r="H42" s="274">
        <v>101</v>
      </c>
      <c r="I42" s="274">
        <v>128</v>
      </c>
      <c r="J42" s="274">
        <v>14</v>
      </c>
      <c r="K42" s="274">
        <v>114</v>
      </c>
      <c r="L42" s="274">
        <v>161</v>
      </c>
      <c r="M42" s="274">
        <v>18</v>
      </c>
      <c r="N42" s="274">
        <v>143</v>
      </c>
      <c r="O42" s="271" t="s">
        <v>224</v>
      </c>
      <c r="P42" s="271" t="s">
        <v>224</v>
      </c>
      <c r="Q42" s="271" t="s">
        <v>224</v>
      </c>
      <c r="R42" s="271" t="s">
        <v>224</v>
      </c>
      <c r="S42" s="271" t="s">
        <v>224</v>
      </c>
      <c r="T42" s="271" t="s">
        <v>224</v>
      </c>
      <c r="U42" s="271" t="s">
        <v>224</v>
      </c>
      <c r="V42" s="271" t="s">
        <v>224</v>
      </c>
      <c r="W42" s="271" t="s">
        <v>224</v>
      </c>
    </row>
    <row r="43" spans="1:23" ht="19.600000000000001" customHeight="1" x14ac:dyDescent="0.25">
      <c r="A43" s="274">
        <v>40</v>
      </c>
      <c r="B43" s="271" t="s">
        <v>134</v>
      </c>
      <c r="C43" s="274">
        <v>9</v>
      </c>
      <c r="D43" s="274">
        <v>5</v>
      </c>
      <c r="E43" s="271" t="s">
        <v>143</v>
      </c>
      <c r="F43" s="274">
        <v>43</v>
      </c>
      <c r="G43" s="274">
        <v>5</v>
      </c>
      <c r="H43" s="274">
        <v>38</v>
      </c>
      <c r="I43" s="274">
        <v>45</v>
      </c>
      <c r="J43" s="274">
        <v>5</v>
      </c>
      <c r="K43" s="274">
        <v>40</v>
      </c>
      <c r="L43" s="274">
        <v>64</v>
      </c>
      <c r="M43" s="274">
        <v>7</v>
      </c>
      <c r="N43" s="274">
        <v>57</v>
      </c>
      <c r="O43" s="271" t="s">
        <v>224</v>
      </c>
      <c r="P43" s="271" t="s">
        <v>224</v>
      </c>
      <c r="Q43" s="271" t="s">
        <v>224</v>
      </c>
      <c r="R43" s="271" t="s">
        <v>224</v>
      </c>
      <c r="S43" s="271" t="s">
        <v>224</v>
      </c>
      <c r="T43" s="271" t="s">
        <v>224</v>
      </c>
      <c r="U43" s="271" t="s">
        <v>224</v>
      </c>
      <c r="V43" s="271" t="s">
        <v>224</v>
      </c>
      <c r="W43" s="271" t="s">
        <v>224</v>
      </c>
    </row>
    <row r="44" spans="1:23" ht="19.600000000000001" customHeight="1" x14ac:dyDescent="0.25">
      <c r="A44" s="274">
        <v>41</v>
      </c>
      <c r="B44" s="271" t="s">
        <v>135</v>
      </c>
      <c r="C44" s="274">
        <v>9</v>
      </c>
      <c r="D44" s="274">
        <v>5</v>
      </c>
      <c r="E44" s="271" t="s">
        <v>142</v>
      </c>
      <c r="F44" s="274">
        <v>130</v>
      </c>
      <c r="G44" s="274">
        <v>14</v>
      </c>
      <c r="H44" s="274">
        <v>116</v>
      </c>
      <c r="I44" s="274">
        <v>120</v>
      </c>
      <c r="J44" s="274">
        <v>13</v>
      </c>
      <c r="K44" s="274">
        <v>107</v>
      </c>
      <c r="L44" s="274">
        <v>140</v>
      </c>
      <c r="M44" s="274">
        <v>15</v>
      </c>
      <c r="N44" s="274">
        <v>125</v>
      </c>
      <c r="O44" s="271" t="s">
        <v>224</v>
      </c>
      <c r="P44" s="271" t="s">
        <v>224</v>
      </c>
      <c r="Q44" s="271" t="s">
        <v>224</v>
      </c>
      <c r="R44" s="271" t="s">
        <v>224</v>
      </c>
      <c r="S44" s="271" t="s">
        <v>224</v>
      </c>
      <c r="T44" s="271" t="s">
        <v>224</v>
      </c>
      <c r="U44" s="271" t="s">
        <v>224</v>
      </c>
      <c r="V44" s="271" t="s">
        <v>224</v>
      </c>
      <c r="W44" s="271" t="s">
        <v>224</v>
      </c>
    </row>
    <row r="45" spans="1:23" ht="19.600000000000001" customHeight="1" x14ac:dyDescent="0.25">
      <c r="A45" s="274">
        <v>42</v>
      </c>
      <c r="B45" s="271" t="s">
        <v>135</v>
      </c>
      <c r="C45" s="274">
        <v>9</v>
      </c>
      <c r="D45" s="274">
        <v>5</v>
      </c>
      <c r="E45" s="271" t="s">
        <v>143</v>
      </c>
      <c r="F45" s="274">
        <v>47</v>
      </c>
      <c r="G45" s="274">
        <v>5</v>
      </c>
      <c r="H45" s="274">
        <v>42</v>
      </c>
      <c r="I45" s="274">
        <v>47</v>
      </c>
      <c r="J45" s="274">
        <v>5</v>
      </c>
      <c r="K45" s="274">
        <v>42</v>
      </c>
      <c r="L45" s="274">
        <v>54</v>
      </c>
      <c r="M45" s="274">
        <v>6</v>
      </c>
      <c r="N45" s="274">
        <v>48</v>
      </c>
      <c r="O45" s="271" t="s">
        <v>224</v>
      </c>
      <c r="P45" s="271" t="s">
        <v>224</v>
      </c>
      <c r="Q45" s="271" t="s">
        <v>224</v>
      </c>
      <c r="R45" s="271" t="s">
        <v>224</v>
      </c>
      <c r="S45" s="271" t="s">
        <v>224</v>
      </c>
      <c r="T45" s="271" t="s">
        <v>224</v>
      </c>
      <c r="U45" s="271" t="s">
        <v>224</v>
      </c>
      <c r="V45" s="271" t="s">
        <v>224</v>
      </c>
      <c r="W45" s="271" t="s">
        <v>224</v>
      </c>
    </row>
    <row r="46" spans="1:23" ht="19.600000000000001" customHeight="1" x14ac:dyDescent="0.25">
      <c r="A46" s="274">
        <v>43</v>
      </c>
      <c r="B46" s="271" t="s">
        <v>136</v>
      </c>
      <c r="C46" s="274">
        <v>9</v>
      </c>
      <c r="D46" s="274">
        <v>5</v>
      </c>
      <c r="E46" s="271" t="s">
        <v>142</v>
      </c>
      <c r="F46" s="274">
        <v>110</v>
      </c>
      <c r="G46" s="274">
        <v>12</v>
      </c>
      <c r="H46" s="274">
        <v>98</v>
      </c>
      <c r="I46" s="274">
        <v>144</v>
      </c>
      <c r="J46" s="274">
        <v>16</v>
      </c>
      <c r="K46" s="274">
        <v>128</v>
      </c>
      <c r="L46" s="274">
        <v>118</v>
      </c>
      <c r="M46" s="274">
        <v>13</v>
      </c>
      <c r="N46" s="274">
        <v>105</v>
      </c>
      <c r="O46" s="271" t="s">
        <v>224</v>
      </c>
      <c r="P46" s="271" t="s">
        <v>224</v>
      </c>
      <c r="Q46" s="271" t="s">
        <v>224</v>
      </c>
      <c r="R46" s="274">
        <v>145</v>
      </c>
      <c r="S46" s="274">
        <v>16</v>
      </c>
      <c r="T46" s="274">
        <v>129</v>
      </c>
      <c r="U46" s="271" t="s">
        <v>224</v>
      </c>
      <c r="V46" s="271" t="s">
        <v>224</v>
      </c>
      <c r="W46" s="271" t="s">
        <v>224</v>
      </c>
    </row>
    <row r="47" spans="1:23" ht="19.600000000000001" customHeight="1" x14ac:dyDescent="0.25">
      <c r="A47" s="274">
        <v>44</v>
      </c>
      <c r="B47" s="271" t="s">
        <v>137</v>
      </c>
      <c r="C47" s="274">
        <v>9</v>
      </c>
      <c r="D47" s="274">
        <v>5</v>
      </c>
      <c r="E47" s="271" t="s">
        <v>142</v>
      </c>
      <c r="F47" s="274">
        <v>71</v>
      </c>
      <c r="G47" s="274">
        <v>8</v>
      </c>
      <c r="H47" s="274">
        <v>63</v>
      </c>
      <c r="I47" s="274">
        <v>77</v>
      </c>
      <c r="J47" s="274">
        <v>9</v>
      </c>
      <c r="K47" s="274">
        <v>68</v>
      </c>
      <c r="L47" s="274">
        <v>67</v>
      </c>
      <c r="M47" s="274">
        <v>7</v>
      </c>
      <c r="N47" s="274">
        <v>60</v>
      </c>
      <c r="O47" s="271" t="s">
        <v>224</v>
      </c>
      <c r="P47" s="271" t="s">
        <v>224</v>
      </c>
      <c r="Q47" s="271" t="s">
        <v>224</v>
      </c>
      <c r="R47" s="271" t="s">
        <v>224</v>
      </c>
      <c r="S47" s="271" t="s">
        <v>224</v>
      </c>
      <c r="T47" s="271" t="s">
        <v>224</v>
      </c>
      <c r="U47" s="271" t="s">
        <v>224</v>
      </c>
      <c r="V47" s="271" t="s">
        <v>224</v>
      </c>
      <c r="W47" s="271" t="s">
        <v>224</v>
      </c>
    </row>
    <row r="48" spans="1:23" ht="19.600000000000001" customHeight="1" x14ac:dyDescent="0.25">
      <c r="A48" s="274">
        <v>45</v>
      </c>
      <c r="B48" s="271" t="s">
        <v>138</v>
      </c>
      <c r="C48" s="274">
        <v>9</v>
      </c>
      <c r="D48" s="274">
        <v>5</v>
      </c>
      <c r="E48" s="271" t="s">
        <v>142</v>
      </c>
      <c r="F48" s="274">
        <v>132</v>
      </c>
      <c r="G48" s="274">
        <v>15</v>
      </c>
      <c r="H48" s="274">
        <v>117</v>
      </c>
      <c r="I48" s="274">
        <v>128</v>
      </c>
      <c r="J48" s="274">
        <v>14</v>
      </c>
      <c r="K48" s="274">
        <v>114</v>
      </c>
      <c r="L48" s="271" t="s">
        <v>224</v>
      </c>
      <c r="M48" s="271" t="s">
        <v>224</v>
      </c>
      <c r="N48" s="271" t="s">
        <v>224</v>
      </c>
      <c r="O48" s="271" t="s">
        <v>224</v>
      </c>
      <c r="P48" s="271" t="s">
        <v>224</v>
      </c>
      <c r="Q48" s="271" t="s">
        <v>224</v>
      </c>
      <c r="R48" s="274">
        <v>140</v>
      </c>
      <c r="S48" s="274">
        <v>15</v>
      </c>
      <c r="T48" s="274">
        <v>125</v>
      </c>
      <c r="U48" s="274">
        <v>167</v>
      </c>
      <c r="V48" s="274">
        <v>18</v>
      </c>
      <c r="W48" s="274">
        <v>149</v>
      </c>
    </row>
    <row r="49" spans="1:23" ht="19.600000000000001" customHeight="1" x14ac:dyDescent="0.25">
      <c r="A49" s="274">
        <v>46</v>
      </c>
      <c r="B49" s="271" t="s">
        <v>139</v>
      </c>
      <c r="C49" s="274">
        <v>9</v>
      </c>
      <c r="D49" s="274">
        <v>5</v>
      </c>
      <c r="E49" s="271" t="s">
        <v>142</v>
      </c>
      <c r="F49" s="274">
        <v>89</v>
      </c>
      <c r="G49" s="274">
        <v>10</v>
      </c>
      <c r="H49" s="274">
        <v>79</v>
      </c>
      <c r="I49" s="271" t="s">
        <v>224</v>
      </c>
      <c r="J49" s="271" t="s">
        <v>224</v>
      </c>
      <c r="K49" s="271" t="s">
        <v>224</v>
      </c>
      <c r="L49" s="274">
        <v>102</v>
      </c>
      <c r="M49" s="274">
        <v>11</v>
      </c>
      <c r="N49" s="274">
        <v>91</v>
      </c>
      <c r="O49" s="274">
        <v>102</v>
      </c>
      <c r="P49" s="274">
        <v>11</v>
      </c>
      <c r="Q49" s="274">
        <v>91</v>
      </c>
      <c r="R49" s="271" t="s">
        <v>224</v>
      </c>
      <c r="S49" s="271" t="s">
        <v>224</v>
      </c>
      <c r="T49" s="271" t="s">
        <v>224</v>
      </c>
      <c r="U49" s="271" t="s">
        <v>224</v>
      </c>
      <c r="V49" s="271" t="s">
        <v>224</v>
      </c>
      <c r="W49" s="271" t="s">
        <v>224</v>
      </c>
    </row>
    <row r="50" spans="1:23" ht="19.600000000000001" customHeight="1" x14ac:dyDescent="0.25">
      <c r="A50" s="274">
        <v>47</v>
      </c>
      <c r="B50" s="271" t="s">
        <v>139</v>
      </c>
      <c r="C50" s="274">
        <v>9</v>
      </c>
      <c r="D50" s="274">
        <v>5</v>
      </c>
      <c r="E50" s="271" t="s">
        <v>143</v>
      </c>
      <c r="F50" s="274">
        <v>41</v>
      </c>
      <c r="G50" s="274">
        <v>4</v>
      </c>
      <c r="H50" s="274">
        <v>37</v>
      </c>
      <c r="I50" s="271" t="s">
        <v>224</v>
      </c>
      <c r="J50" s="271" t="s">
        <v>224</v>
      </c>
      <c r="K50" s="271" t="s">
        <v>224</v>
      </c>
      <c r="L50" s="274">
        <v>40</v>
      </c>
      <c r="M50" s="274">
        <v>4</v>
      </c>
      <c r="N50" s="274">
        <v>36</v>
      </c>
      <c r="O50" s="274">
        <v>45</v>
      </c>
      <c r="P50" s="274">
        <v>5</v>
      </c>
      <c r="Q50" s="274">
        <v>40</v>
      </c>
      <c r="R50" s="271" t="s">
        <v>224</v>
      </c>
      <c r="S50" s="271" t="s">
        <v>224</v>
      </c>
      <c r="T50" s="271" t="s">
        <v>224</v>
      </c>
      <c r="U50" s="271" t="s">
        <v>224</v>
      </c>
      <c r="V50" s="271" t="s">
        <v>224</v>
      </c>
      <c r="W50" s="271" t="s">
        <v>224</v>
      </c>
    </row>
    <row r="51" spans="1:23" ht="19.600000000000001" customHeight="1" x14ac:dyDescent="0.25">
      <c r="A51" s="274">
        <v>48</v>
      </c>
      <c r="B51" s="271" t="s">
        <v>140</v>
      </c>
      <c r="C51" s="274">
        <v>9</v>
      </c>
      <c r="D51" s="274">
        <v>5</v>
      </c>
      <c r="E51" s="271" t="s">
        <v>142</v>
      </c>
      <c r="F51" s="274">
        <v>133</v>
      </c>
      <c r="G51" s="274">
        <v>15</v>
      </c>
      <c r="H51" s="274">
        <v>118</v>
      </c>
      <c r="I51" s="274">
        <v>166</v>
      </c>
      <c r="J51" s="274">
        <v>18</v>
      </c>
      <c r="K51" s="274">
        <v>148</v>
      </c>
      <c r="L51" s="274">
        <v>159</v>
      </c>
      <c r="M51" s="274">
        <v>18</v>
      </c>
      <c r="N51" s="274">
        <v>141</v>
      </c>
      <c r="O51" s="271" t="s">
        <v>224</v>
      </c>
      <c r="P51" s="271" t="s">
        <v>224</v>
      </c>
      <c r="Q51" s="271" t="s">
        <v>224</v>
      </c>
      <c r="R51" s="271" t="s">
        <v>224</v>
      </c>
      <c r="S51" s="271" t="s">
        <v>224</v>
      </c>
      <c r="T51" s="271" t="s">
        <v>224</v>
      </c>
      <c r="U51" s="274">
        <v>152</v>
      </c>
      <c r="V51" s="274">
        <v>17</v>
      </c>
      <c r="W51" s="274">
        <v>135</v>
      </c>
    </row>
    <row r="52" spans="1:23" ht="19.600000000000001" customHeight="1" x14ac:dyDescent="0.25">
      <c r="A52" s="274">
        <v>49</v>
      </c>
      <c r="B52" s="271" t="s">
        <v>140</v>
      </c>
      <c r="C52" s="274">
        <v>9</v>
      </c>
      <c r="D52" s="274">
        <v>5</v>
      </c>
      <c r="E52" s="271" t="s">
        <v>143</v>
      </c>
      <c r="F52" s="274">
        <v>46</v>
      </c>
      <c r="G52" s="274">
        <v>5</v>
      </c>
      <c r="H52" s="274">
        <v>41</v>
      </c>
      <c r="I52" s="274">
        <v>34</v>
      </c>
      <c r="J52" s="274">
        <v>4</v>
      </c>
      <c r="K52" s="274">
        <v>30</v>
      </c>
      <c r="L52" s="274">
        <v>57</v>
      </c>
      <c r="M52" s="274">
        <v>6</v>
      </c>
      <c r="N52" s="274">
        <v>51</v>
      </c>
      <c r="O52" s="271" t="s">
        <v>224</v>
      </c>
      <c r="P52" s="271" t="s">
        <v>224</v>
      </c>
      <c r="Q52" s="271" t="s">
        <v>224</v>
      </c>
      <c r="R52" s="271" t="s">
        <v>224</v>
      </c>
      <c r="S52" s="271" t="s">
        <v>224</v>
      </c>
      <c r="T52" s="271" t="s">
        <v>224</v>
      </c>
      <c r="U52" s="274">
        <v>19</v>
      </c>
      <c r="V52" s="274">
        <v>2</v>
      </c>
      <c r="W52" s="274">
        <v>17</v>
      </c>
    </row>
    <row r="53" spans="1:23" ht="19.600000000000001" customHeight="1" x14ac:dyDescent="0.25">
      <c r="A53" s="274">
        <v>50</v>
      </c>
      <c r="B53" s="271" t="s">
        <v>140</v>
      </c>
      <c r="C53" s="274">
        <v>9</v>
      </c>
      <c r="D53" s="274">
        <v>6</v>
      </c>
      <c r="E53" s="271" t="s">
        <v>142</v>
      </c>
      <c r="F53" s="271" t="s">
        <v>224</v>
      </c>
      <c r="G53" s="271" t="s">
        <v>224</v>
      </c>
      <c r="H53" s="271" t="s">
        <v>224</v>
      </c>
      <c r="I53" s="271" t="s">
        <v>224</v>
      </c>
      <c r="J53" s="271" t="s">
        <v>224</v>
      </c>
      <c r="K53" s="271" t="s">
        <v>224</v>
      </c>
      <c r="L53" s="271" t="s">
        <v>224</v>
      </c>
      <c r="M53" s="271" t="s">
        <v>224</v>
      </c>
      <c r="N53" s="271" t="s">
        <v>224</v>
      </c>
      <c r="O53" s="271" t="s">
        <v>224</v>
      </c>
      <c r="P53" s="271" t="s">
        <v>224</v>
      </c>
      <c r="Q53" s="271" t="s">
        <v>224</v>
      </c>
      <c r="R53" s="271" t="s">
        <v>224</v>
      </c>
      <c r="S53" s="271" t="s">
        <v>224</v>
      </c>
      <c r="T53" s="271" t="s">
        <v>224</v>
      </c>
      <c r="U53" s="274">
        <v>170</v>
      </c>
      <c r="V53" s="274">
        <v>19</v>
      </c>
      <c r="W53" s="274">
        <v>151</v>
      </c>
    </row>
    <row r="54" spans="1:23" ht="19.600000000000001" customHeight="1" x14ac:dyDescent="0.25">
      <c r="A54" s="274">
        <v>51</v>
      </c>
      <c r="B54" s="271" t="s">
        <v>140</v>
      </c>
      <c r="C54" s="274">
        <v>9</v>
      </c>
      <c r="D54" s="274">
        <v>6</v>
      </c>
      <c r="E54" s="271" t="s">
        <v>143</v>
      </c>
      <c r="F54" s="271" t="s">
        <v>224</v>
      </c>
      <c r="G54" s="271" t="s">
        <v>224</v>
      </c>
      <c r="H54" s="271" t="s">
        <v>224</v>
      </c>
      <c r="I54" s="271" t="s">
        <v>224</v>
      </c>
      <c r="J54" s="271" t="s">
        <v>224</v>
      </c>
      <c r="K54" s="271" t="s">
        <v>224</v>
      </c>
      <c r="L54" s="271" t="s">
        <v>224</v>
      </c>
      <c r="M54" s="271" t="s">
        <v>224</v>
      </c>
      <c r="N54" s="271" t="s">
        <v>224</v>
      </c>
      <c r="O54" s="271" t="s">
        <v>224</v>
      </c>
      <c r="P54" s="271" t="s">
        <v>224</v>
      </c>
      <c r="Q54" s="271" t="s">
        <v>224</v>
      </c>
      <c r="R54" s="271" t="s">
        <v>224</v>
      </c>
      <c r="S54" s="271" t="s">
        <v>224</v>
      </c>
      <c r="T54" s="271" t="s">
        <v>224</v>
      </c>
      <c r="U54" s="274">
        <v>63</v>
      </c>
      <c r="V54" s="274">
        <v>7</v>
      </c>
      <c r="W54" s="274">
        <v>56</v>
      </c>
    </row>
  </sheetData>
  <autoFilter ref="A3:W54"/>
  <mergeCells count="12">
    <mergeCell ref="U2:W2"/>
    <mergeCell ref="A1:W1"/>
    <mergeCell ref="A2:A3"/>
    <mergeCell ref="B2:B3"/>
    <mergeCell ref="C2:C3"/>
    <mergeCell ref="D2:D3"/>
    <mergeCell ref="E2:E3"/>
    <mergeCell ref="F2:H2"/>
    <mergeCell ref="I2:K2"/>
    <mergeCell ref="L2:N2"/>
    <mergeCell ref="O2:Q2"/>
    <mergeCell ref="R2:T2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85"/>
  <sheetViews>
    <sheetView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B170" sqref="B170"/>
    </sheetView>
  </sheetViews>
  <sheetFormatPr defaultRowHeight="13.8" x14ac:dyDescent="0.25"/>
  <cols>
    <col min="1" max="1" width="10.375" style="1" customWidth="1"/>
    <col min="2" max="2" width="21" customWidth="1"/>
    <col min="3" max="3" width="6" style="215" bestFit="1" customWidth="1"/>
    <col min="4" max="4" width="10.375" style="1" customWidth="1"/>
    <col min="5" max="5" width="10.375" style="3" customWidth="1"/>
    <col min="6" max="6" width="7.75" style="3" customWidth="1"/>
    <col min="7" max="13" width="10.375" style="3" customWidth="1"/>
    <col min="14" max="14" width="11.375" customWidth="1"/>
    <col min="15" max="15" width="10.375" customWidth="1"/>
    <col min="16" max="16" width="10" customWidth="1"/>
    <col min="17" max="17" width="10.875" customWidth="1"/>
    <col min="18" max="18" width="12.75" customWidth="1"/>
    <col min="20" max="20" width="12" customWidth="1"/>
    <col min="22" max="22" width="9.375" bestFit="1" customWidth="1"/>
    <col min="23" max="23" width="2.875" style="43" customWidth="1"/>
    <col min="24" max="24" width="11.375" customWidth="1"/>
    <col min="25" max="25" width="12.75" customWidth="1"/>
    <col min="26" max="27" width="9" style="43" customWidth="1"/>
    <col min="28" max="30" width="9.125" style="43" customWidth="1"/>
  </cols>
  <sheetData>
    <row r="1" spans="1:27" ht="26.3" customHeight="1" x14ac:dyDescent="0.3">
      <c r="A1" s="630" t="s">
        <v>148</v>
      </c>
      <c r="B1" s="631"/>
      <c r="C1" s="206"/>
      <c r="D1" s="144" t="s">
        <v>84</v>
      </c>
      <c r="E1" s="649" t="s">
        <v>53</v>
      </c>
      <c r="F1" s="649"/>
      <c r="G1" s="649"/>
      <c r="H1" s="649"/>
      <c r="I1" s="649"/>
      <c r="J1" s="639" t="s">
        <v>258</v>
      </c>
      <c r="K1" s="639"/>
      <c r="L1" s="639"/>
      <c r="M1" s="310"/>
      <c r="N1" s="172" t="s">
        <v>259</v>
      </c>
      <c r="O1" s="640" t="s">
        <v>55</v>
      </c>
      <c r="P1" s="641"/>
      <c r="Q1" s="647" t="s">
        <v>56</v>
      </c>
      <c r="R1" s="648"/>
      <c r="S1" s="634" t="s">
        <v>57</v>
      </c>
      <c r="T1" s="634"/>
      <c r="U1" s="634"/>
      <c r="V1" s="635"/>
    </row>
    <row r="2" spans="1:27" ht="16.600000000000001" customHeight="1" x14ac:dyDescent="0.3">
      <c r="A2" s="626" t="s">
        <v>147</v>
      </c>
      <c r="B2" s="627"/>
      <c r="C2" s="207"/>
      <c r="D2" s="138" t="s">
        <v>86</v>
      </c>
      <c r="E2" s="139" t="s">
        <v>30</v>
      </c>
      <c r="F2" s="139" t="s">
        <v>31</v>
      </c>
      <c r="G2" s="139" t="s">
        <v>32</v>
      </c>
      <c r="H2" s="139" t="s">
        <v>34</v>
      </c>
      <c r="I2" s="139" t="s">
        <v>33</v>
      </c>
      <c r="J2" s="140" t="s">
        <v>35</v>
      </c>
      <c r="K2" s="140" t="s">
        <v>36</v>
      </c>
      <c r="L2" s="140" t="s">
        <v>37</v>
      </c>
      <c r="M2" s="310"/>
      <c r="N2" s="35" t="s">
        <v>38</v>
      </c>
      <c r="O2" s="27" t="s">
        <v>39</v>
      </c>
      <c r="P2" s="28" t="s">
        <v>40</v>
      </c>
      <c r="Q2" s="25" t="s">
        <v>41</v>
      </c>
      <c r="R2" s="30" t="s">
        <v>42</v>
      </c>
      <c r="S2" s="26" t="s">
        <v>43</v>
      </c>
      <c r="T2" s="32" t="s">
        <v>44</v>
      </c>
      <c r="U2" s="32" t="s">
        <v>58</v>
      </c>
      <c r="V2" s="37" t="s">
        <v>59</v>
      </c>
    </row>
    <row r="3" spans="1:27" ht="16.600000000000001" customHeight="1" x14ac:dyDescent="0.3">
      <c r="A3" s="628"/>
      <c r="B3" s="629"/>
      <c r="C3" s="208"/>
      <c r="D3" s="138" t="s">
        <v>85</v>
      </c>
      <c r="E3" s="139"/>
      <c r="F3" s="139"/>
      <c r="G3" s="141" t="s">
        <v>45</v>
      </c>
      <c r="H3" s="142" t="s">
        <v>54</v>
      </c>
      <c r="I3" s="141" t="s">
        <v>46</v>
      </c>
      <c r="J3" s="140"/>
      <c r="K3" s="140"/>
      <c r="L3" s="143" t="s">
        <v>47</v>
      </c>
      <c r="M3" s="310"/>
      <c r="N3" s="36" t="s">
        <v>48</v>
      </c>
      <c r="O3" s="11" t="s">
        <v>49</v>
      </c>
      <c r="P3" s="29" t="s">
        <v>50</v>
      </c>
      <c r="Q3" s="22" t="s">
        <v>51</v>
      </c>
      <c r="R3" s="31" t="s">
        <v>70</v>
      </c>
      <c r="S3" s="11" t="s">
        <v>49</v>
      </c>
      <c r="T3" s="33" t="s">
        <v>52</v>
      </c>
      <c r="U3" s="34" t="s">
        <v>60</v>
      </c>
      <c r="V3" s="21" t="s">
        <v>61</v>
      </c>
      <c r="Z3" s="44" t="s">
        <v>80</v>
      </c>
      <c r="AA3" s="44" t="s">
        <v>81</v>
      </c>
    </row>
    <row r="4" spans="1:27" ht="55.75" thickBot="1" x14ac:dyDescent="0.3">
      <c r="A4" s="4" t="s">
        <v>0</v>
      </c>
      <c r="B4" s="4" t="s">
        <v>1</v>
      </c>
      <c r="C4" s="209" t="s">
        <v>169</v>
      </c>
      <c r="D4" s="16" t="s">
        <v>2</v>
      </c>
      <c r="E4" s="40" t="s">
        <v>3</v>
      </c>
      <c r="F4" s="41" t="s">
        <v>4</v>
      </c>
      <c r="G4" s="41" t="s">
        <v>5</v>
      </c>
      <c r="H4" s="41" t="s">
        <v>6</v>
      </c>
      <c r="I4" s="41" t="s">
        <v>7</v>
      </c>
      <c r="J4" s="42" t="s">
        <v>92</v>
      </c>
      <c r="K4" s="42" t="s">
        <v>94</v>
      </c>
      <c r="L4" s="42" t="s">
        <v>93</v>
      </c>
      <c r="M4" s="311" t="s">
        <v>263</v>
      </c>
      <c r="N4" s="170" t="s">
        <v>23</v>
      </c>
      <c r="O4" s="38" t="s">
        <v>24</v>
      </c>
      <c r="P4" s="171" t="s">
        <v>25</v>
      </c>
      <c r="Q4" s="23" t="s">
        <v>90</v>
      </c>
      <c r="R4" s="23" t="s">
        <v>91</v>
      </c>
      <c r="S4" s="169" t="s">
        <v>72</v>
      </c>
      <c r="T4" s="169" t="s">
        <v>26</v>
      </c>
      <c r="U4" s="24" t="s">
        <v>62</v>
      </c>
      <c r="V4" s="85" t="s">
        <v>63</v>
      </c>
      <c r="Z4" s="6" t="s">
        <v>78</v>
      </c>
      <c r="AA4" s="6" t="s">
        <v>79</v>
      </c>
    </row>
    <row r="5" spans="1:27" x14ac:dyDescent="0.25">
      <c r="A5" s="12" t="s">
        <v>8</v>
      </c>
      <c r="B5" s="13" t="s">
        <v>231</v>
      </c>
      <c r="C5" s="210">
        <v>7</v>
      </c>
      <c r="D5" s="17" t="s">
        <v>16</v>
      </c>
      <c r="E5" s="46"/>
      <c r="F5" s="47"/>
      <c r="G5" s="47"/>
      <c r="H5" s="315">
        <v>106</v>
      </c>
      <c r="I5" s="315">
        <f>G5*H5</f>
        <v>0</v>
      </c>
      <c r="J5" s="47"/>
      <c r="K5" s="324">
        <v>12</v>
      </c>
      <c r="L5" s="324">
        <f>J5*K5</f>
        <v>0</v>
      </c>
      <c r="M5" s="325">
        <f>I5+L5</f>
        <v>0</v>
      </c>
      <c r="N5" s="302">
        <f>H5-K5</f>
        <v>94</v>
      </c>
      <c r="O5" s="124"/>
      <c r="P5" s="309">
        <f>N5*O5</f>
        <v>0</v>
      </c>
      <c r="Q5" s="64">
        <f>J5-O5</f>
        <v>0</v>
      </c>
      <c r="R5" s="64">
        <f>N5*Q5</f>
        <v>0</v>
      </c>
      <c r="S5" s="116"/>
      <c r="T5" s="79">
        <f t="shared" ref="T5:T36" si="0">S5*H5</f>
        <v>0</v>
      </c>
      <c r="U5" s="116"/>
      <c r="V5" s="86">
        <f>H5*U5</f>
        <v>0</v>
      </c>
      <c r="Z5" s="45">
        <f>K5*O5</f>
        <v>0</v>
      </c>
      <c r="AA5" s="45">
        <f>K5*Q5</f>
        <v>0</v>
      </c>
    </row>
    <row r="6" spans="1:27" x14ac:dyDescent="0.25">
      <c r="A6" s="12" t="s">
        <v>8</v>
      </c>
      <c r="B6" s="13" t="s">
        <v>232</v>
      </c>
      <c r="C6" s="210">
        <v>7</v>
      </c>
      <c r="D6" s="17" t="s">
        <v>16</v>
      </c>
      <c r="E6" s="48"/>
      <c r="F6" s="49"/>
      <c r="G6" s="49"/>
      <c r="H6" s="316">
        <v>47</v>
      </c>
      <c r="I6" s="316">
        <f t="shared" ref="I6:I69" si="1">G6*H6</f>
        <v>0</v>
      </c>
      <c r="J6" s="49"/>
      <c r="K6" s="326">
        <v>5</v>
      </c>
      <c r="L6" s="326">
        <f t="shared" ref="L6:L69" si="2">J6*K6</f>
        <v>0</v>
      </c>
      <c r="M6" s="327">
        <f t="shared" ref="M6:M69" si="3">I6+L6</f>
        <v>0</v>
      </c>
      <c r="N6" s="303">
        <f t="shared" ref="N6:N69" si="4">H6-K6</f>
        <v>42</v>
      </c>
      <c r="O6" s="125"/>
      <c r="P6" s="65">
        <f t="shared" ref="P6:P69" si="5">N6*O6</f>
        <v>0</v>
      </c>
      <c r="Q6" s="66">
        <f t="shared" ref="Q6:Q69" si="6">J6-O6</f>
        <v>0</v>
      </c>
      <c r="R6" s="66">
        <f t="shared" ref="R6:R69" si="7">N6*Q6</f>
        <v>0</v>
      </c>
      <c r="S6" s="117"/>
      <c r="T6" s="80">
        <f t="shared" si="0"/>
        <v>0</v>
      </c>
      <c r="U6" s="117"/>
      <c r="V6" s="87">
        <f t="shared" ref="V6:V69" si="8">H6*U6</f>
        <v>0</v>
      </c>
      <c r="Z6" s="45">
        <f t="shared" ref="Z6:Z69" si="9">K6*O6</f>
        <v>0</v>
      </c>
      <c r="AA6" s="45">
        <f t="shared" ref="AA6:AA69" si="10">K6*Q6</f>
        <v>0</v>
      </c>
    </row>
    <row r="7" spans="1:27" x14ac:dyDescent="0.25">
      <c r="A7" s="12" t="s">
        <v>8</v>
      </c>
      <c r="B7" s="13" t="s">
        <v>233</v>
      </c>
      <c r="C7" s="210">
        <v>7</v>
      </c>
      <c r="D7" s="17" t="s">
        <v>16</v>
      </c>
      <c r="E7" s="48"/>
      <c r="F7" s="49"/>
      <c r="G7" s="49"/>
      <c r="H7" s="316">
        <v>140</v>
      </c>
      <c r="I7" s="316">
        <f t="shared" si="1"/>
        <v>0</v>
      </c>
      <c r="J7" s="49"/>
      <c r="K7" s="326">
        <v>15</v>
      </c>
      <c r="L7" s="326">
        <f t="shared" si="2"/>
        <v>0</v>
      </c>
      <c r="M7" s="327">
        <f t="shared" si="3"/>
        <v>0</v>
      </c>
      <c r="N7" s="303">
        <f t="shared" si="4"/>
        <v>125</v>
      </c>
      <c r="O7" s="125"/>
      <c r="P7" s="65">
        <f t="shared" si="5"/>
        <v>0</v>
      </c>
      <c r="Q7" s="66">
        <f t="shared" si="6"/>
        <v>0</v>
      </c>
      <c r="R7" s="66">
        <f t="shared" si="7"/>
        <v>0</v>
      </c>
      <c r="S7" s="117"/>
      <c r="T7" s="80">
        <f t="shared" si="0"/>
        <v>0</v>
      </c>
      <c r="U7" s="117"/>
      <c r="V7" s="87">
        <f t="shared" si="8"/>
        <v>0</v>
      </c>
      <c r="Z7" s="45">
        <f t="shared" si="9"/>
        <v>0</v>
      </c>
      <c r="AA7" s="45">
        <f t="shared" si="10"/>
        <v>0</v>
      </c>
    </row>
    <row r="8" spans="1:27" x14ac:dyDescent="0.25">
      <c r="A8" s="12" t="s">
        <v>8</v>
      </c>
      <c r="B8" s="13" t="s">
        <v>234</v>
      </c>
      <c r="C8" s="210">
        <v>7</v>
      </c>
      <c r="D8" s="17" t="s">
        <v>16</v>
      </c>
      <c r="E8" s="48"/>
      <c r="F8" s="49"/>
      <c r="G8" s="49"/>
      <c r="H8" s="316">
        <v>49</v>
      </c>
      <c r="I8" s="316">
        <f t="shared" si="1"/>
        <v>0</v>
      </c>
      <c r="J8" s="49"/>
      <c r="K8" s="326">
        <v>5</v>
      </c>
      <c r="L8" s="326">
        <f t="shared" si="2"/>
        <v>0</v>
      </c>
      <c r="M8" s="327">
        <f t="shared" si="3"/>
        <v>0</v>
      </c>
      <c r="N8" s="303">
        <f t="shared" si="4"/>
        <v>44</v>
      </c>
      <c r="O8" s="125"/>
      <c r="P8" s="65">
        <f t="shared" si="5"/>
        <v>0</v>
      </c>
      <c r="Q8" s="66">
        <f t="shared" si="6"/>
        <v>0</v>
      </c>
      <c r="R8" s="66">
        <f t="shared" si="7"/>
        <v>0</v>
      </c>
      <c r="S8" s="117"/>
      <c r="T8" s="80">
        <f t="shared" si="0"/>
        <v>0</v>
      </c>
      <c r="U8" s="117"/>
      <c r="V8" s="87">
        <f t="shared" si="8"/>
        <v>0</v>
      </c>
      <c r="Z8" s="45">
        <f t="shared" si="9"/>
        <v>0</v>
      </c>
      <c r="AA8" s="45">
        <f t="shared" si="10"/>
        <v>0</v>
      </c>
    </row>
    <row r="9" spans="1:27" x14ac:dyDescent="0.25">
      <c r="A9" s="12" t="s">
        <v>8</v>
      </c>
      <c r="B9" s="13" t="s">
        <v>235</v>
      </c>
      <c r="C9" s="210">
        <v>7</v>
      </c>
      <c r="D9" s="17" t="s">
        <v>16</v>
      </c>
      <c r="E9" s="48"/>
      <c r="F9" s="49"/>
      <c r="G9" s="49"/>
      <c r="H9" s="316">
        <v>132</v>
      </c>
      <c r="I9" s="316">
        <f t="shared" si="1"/>
        <v>0</v>
      </c>
      <c r="J9" s="49"/>
      <c r="K9" s="326">
        <v>15</v>
      </c>
      <c r="L9" s="326">
        <f t="shared" si="2"/>
        <v>0</v>
      </c>
      <c r="M9" s="327">
        <f t="shared" si="3"/>
        <v>0</v>
      </c>
      <c r="N9" s="303">
        <f t="shared" si="4"/>
        <v>117</v>
      </c>
      <c r="O9" s="125"/>
      <c r="P9" s="65">
        <f t="shared" si="5"/>
        <v>0</v>
      </c>
      <c r="Q9" s="66">
        <f t="shared" si="6"/>
        <v>0</v>
      </c>
      <c r="R9" s="66">
        <f t="shared" si="7"/>
        <v>0</v>
      </c>
      <c r="S9" s="117"/>
      <c r="T9" s="80">
        <f t="shared" si="0"/>
        <v>0</v>
      </c>
      <c r="U9" s="117"/>
      <c r="V9" s="87">
        <f t="shared" si="8"/>
        <v>0</v>
      </c>
      <c r="Z9" s="45">
        <f t="shared" si="9"/>
        <v>0</v>
      </c>
      <c r="AA9" s="45">
        <f t="shared" si="10"/>
        <v>0</v>
      </c>
    </row>
    <row r="10" spans="1:27" x14ac:dyDescent="0.25">
      <c r="A10" s="12" t="s">
        <v>8</v>
      </c>
      <c r="B10" s="13" t="s">
        <v>236</v>
      </c>
      <c r="C10" s="210">
        <v>7</v>
      </c>
      <c r="D10" s="17" t="s">
        <v>16</v>
      </c>
      <c r="E10" s="48"/>
      <c r="F10" s="49"/>
      <c r="G10" s="49"/>
      <c r="H10" s="316">
        <v>45</v>
      </c>
      <c r="I10" s="316">
        <f t="shared" si="1"/>
        <v>0</v>
      </c>
      <c r="J10" s="49"/>
      <c r="K10" s="326">
        <v>5</v>
      </c>
      <c r="L10" s="326">
        <f t="shared" si="2"/>
        <v>0</v>
      </c>
      <c r="M10" s="327">
        <f t="shared" si="3"/>
        <v>0</v>
      </c>
      <c r="N10" s="303">
        <f t="shared" si="4"/>
        <v>40</v>
      </c>
      <c r="O10" s="125"/>
      <c r="P10" s="65">
        <f t="shared" si="5"/>
        <v>0</v>
      </c>
      <c r="Q10" s="66">
        <f t="shared" si="6"/>
        <v>0</v>
      </c>
      <c r="R10" s="66">
        <f t="shared" si="7"/>
        <v>0</v>
      </c>
      <c r="S10" s="117"/>
      <c r="T10" s="80">
        <f t="shared" si="0"/>
        <v>0</v>
      </c>
      <c r="U10" s="117"/>
      <c r="V10" s="87">
        <f t="shared" si="8"/>
        <v>0</v>
      </c>
      <c r="Z10" s="45">
        <f t="shared" si="9"/>
        <v>0</v>
      </c>
      <c r="AA10" s="45">
        <f t="shared" si="10"/>
        <v>0</v>
      </c>
    </row>
    <row r="11" spans="1:27" x14ac:dyDescent="0.25">
      <c r="A11" s="12" t="s">
        <v>8</v>
      </c>
      <c r="B11" s="13" t="s">
        <v>237</v>
      </c>
      <c r="C11" s="210">
        <v>7</v>
      </c>
      <c r="D11" s="17" t="s">
        <v>16</v>
      </c>
      <c r="E11" s="48"/>
      <c r="F11" s="49"/>
      <c r="G11" s="49"/>
      <c r="H11" s="316">
        <v>115</v>
      </c>
      <c r="I11" s="316">
        <f t="shared" si="1"/>
        <v>0</v>
      </c>
      <c r="J11" s="49"/>
      <c r="K11" s="326">
        <v>13</v>
      </c>
      <c r="L11" s="326">
        <f t="shared" si="2"/>
        <v>0</v>
      </c>
      <c r="M11" s="327">
        <f t="shared" si="3"/>
        <v>0</v>
      </c>
      <c r="N11" s="303">
        <f t="shared" si="4"/>
        <v>102</v>
      </c>
      <c r="O11" s="125"/>
      <c r="P11" s="65">
        <f t="shared" si="5"/>
        <v>0</v>
      </c>
      <c r="Q11" s="66">
        <f t="shared" si="6"/>
        <v>0</v>
      </c>
      <c r="R11" s="66">
        <f t="shared" si="7"/>
        <v>0</v>
      </c>
      <c r="S11" s="117"/>
      <c r="T11" s="80">
        <f t="shared" si="0"/>
        <v>0</v>
      </c>
      <c r="U11" s="117"/>
      <c r="V11" s="87">
        <f t="shared" si="8"/>
        <v>0</v>
      </c>
      <c r="Z11" s="45">
        <f t="shared" si="9"/>
        <v>0</v>
      </c>
      <c r="AA11" s="45">
        <f t="shared" si="10"/>
        <v>0</v>
      </c>
    </row>
    <row r="12" spans="1:27" x14ac:dyDescent="0.25">
      <c r="A12" s="12" t="s">
        <v>8</v>
      </c>
      <c r="B12" s="13" t="s">
        <v>238</v>
      </c>
      <c r="C12" s="210">
        <v>7</v>
      </c>
      <c r="D12" s="17" t="s">
        <v>16</v>
      </c>
      <c r="E12" s="48"/>
      <c r="F12" s="49"/>
      <c r="G12" s="49"/>
      <c r="H12" s="316">
        <v>53</v>
      </c>
      <c r="I12" s="316">
        <f t="shared" si="1"/>
        <v>0</v>
      </c>
      <c r="J12" s="49"/>
      <c r="K12" s="326">
        <v>6</v>
      </c>
      <c r="L12" s="326">
        <f t="shared" si="2"/>
        <v>0</v>
      </c>
      <c r="M12" s="327">
        <f t="shared" si="3"/>
        <v>0</v>
      </c>
      <c r="N12" s="303">
        <f t="shared" si="4"/>
        <v>47</v>
      </c>
      <c r="O12" s="125"/>
      <c r="P12" s="65">
        <f t="shared" si="5"/>
        <v>0</v>
      </c>
      <c r="Q12" s="66">
        <f t="shared" si="6"/>
        <v>0</v>
      </c>
      <c r="R12" s="66">
        <f t="shared" si="7"/>
        <v>0</v>
      </c>
      <c r="S12" s="117"/>
      <c r="T12" s="80">
        <f t="shared" si="0"/>
        <v>0</v>
      </c>
      <c r="U12" s="117"/>
      <c r="V12" s="87">
        <f t="shared" si="8"/>
        <v>0</v>
      </c>
      <c r="Z12" s="45">
        <f t="shared" si="9"/>
        <v>0</v>
      </c>
      <c r="AA12" s="45">
        <f t="shared" si="10"/>
        <v>0</v>
      </c>
    </row>
    <row r="13" spans="1:27" x14ac:dyDescent="0.25">
      <c r="A13" s="12" t="s">
        <v>8</v>
      </c>
      <c r="B13" s="219" t="s">
        <v>239</v>
      </c>
      <c r="C13" s="220">
        <v>7</v>
      </c>
      <c r="D13" s="221" t="s">
        <v>16</v>
      </c>
      <c r="E13" s="48"/>
      <c r="F13" s="49"/>
      <c r="G13" s="49"/>
      <c r="H13" s="316">
        <v>106</v>
      </c>
      <c r="I13" s="316">
        <f t="shared" si="1"/>
        <v>0</v>
      </c>
      <c r="J13" s="49"/>
      <c r="K13" s="326">
        <v>12</v>
      </c>
      <c r="L13" s="326">
        <f t="shared" si="2"/>
        <v>0</v>
      </c>
      <c r="M13" s="327">
        <f t="shared" si="3"/>
        <v>0</v>
      </c>
      <c r="N13" s="303">
        <f t="shared" si="4"/>
        <v>94</v>
      </c>
      <c r="O13" s="125"/>
      <c r="P13" s="65">
        <f t="shared" si="5"/>
        <v>0</v>
      </c>
      <c r="Q13" s="234">
        <f t="shared" si="6"/>
        <v>0</v>
      </c>
      <c r="R13" s="234">
        <f t="shared" si="7"/>
        <v>0</v>
      </c>
      <c r="S13" s="117"/>
      <c r="T13" s="234">
        <f t="shared" si="0"/>
        <v>0</v>
      </c>
      <c r="U13" s="117"/>
      <c r="V13" s="240">
        <f t="shared" si="8"/>
        <v>0</v>
      </c>
      <c r="Z13" s="45">
        <f t="shared" si="9"/>
        <v>0</v>
      </c>
      <c r="AA13" s="45">
        <f t="shared" si="10"/>
        <v>0</v>
      </c>
    </row>
    <row r="14" spans="1:27" x14ac:dyDescent="0.25">
      <c r="A14" s="12" t="s">
        <v>8</v>
      </c>
      <c r="B14" s="219" t="s">
        <v>240</v>
      </c>
      <c r="C14" s="220">
        <v>7</v>
      </c>
      <c r="D14" s="221" t="s">
        <v>16</v>
      </c>
      <c r="E14" s="48"/>
      <c r="F14" s="49"/>
      <c r="G14" s="49"/>
      <c r="H14" s="316">
        <v>69</v>
      </c>
      <c r="I14" s="316">
        <f t="shared" si="1"/>
        <v>0</v>
      </c>
      <c r="J14" s="49"/>
      <c r="K14" s="326">
        <v>8</v>
      </c>
      <c r="L14" s="326">
        <f t="shared" si="2"/>
        <v>0</v>
      </c>
      <c r="M14" s="327">
        <f t="shared" si="3"/>
        <v>0</v>
      </c>
      <c r="N14" s="303">
        <f t="shared" si="4"/>
        <v>61</v>
      </c>
      <c r="O14" s="125"/>
      <c r="P14" s="65">
        <f t="shared" si="5"/>
        <v>0</v>
      </c>
      <c r="Q14" s="234">
        <f t="shared" si="6"/>
        <v>0</v>
      </c>
      <c r="R14" s="234">
        <f t="shared" si="7"/>
        <v>0</v>
      </c>
      <c r="S14" s="117"/>
      <c r="T14" s="234">
        <f t="shared" si="0"/>
        <v>0</v>
      </c>
      <c r="U14" s="117"/>
      <c r="V14" s="240">
        <f t="shared" si="8"/>
        <v>0</v>
      </c>
      <c r="Z14" s="45">
        <f t="shared" si="9"/>
        <v>0</v>
      </c>
      <c r="AA14" s="45">
        <f t="shared" si="10"/>
        <v>0</v>
      </c>
    </row>
    <row r="15" spans="1:27" x14ac:dyDescent="0.25">
      <c r="A15" s="12" t="s">
        <v>8</v>
      </c>
      <c r="B15" s="219" t="s">
        <v>241</v>
      </c>
      <c r="C15" s="220">
        <v>7</v>
      </c>
      <c r="D15" s="221" t="s">
        <v>16</v>
      </c>
      <c r="E15" s="48"/>
      <c r="F15" s="49"/>
      <c r="G15" s="49"/>
      <c r="H15" s="316">
        <v>136</v>
      </c>
      <c r="I15" s="316">
        <f t="shared" si="1"/>
        <v>0</v>
      </c>
      <c r="J15" s="49"/>
      <c r="K15" s="326">
        <v>15</v>
      </c>
      <c r="L15" s="326">
        <f t="shared" si="2"/>
        <v>0</v>
      </c>
      <c r="M15" s="327">
        <f t="shared" si="3"/>
        <v>0</v>
      </c>
      <c r="N15" s="303">
        <f t="shared" si="4"/>
        <v>121</v>
      </c>
      <c r="O15" s="125"/>
      <c r="P15" s="65">
        <f t="shared" si="5"/>
        <v>0</v>
      </c>
      <c r="Q15" s="234">
        <f t="shared" si="6"/>
        <v>0</v>
      </c>
      <c r="R15" s="234">
        <f t="shared" si="7"/>
        <v>0</v>
      </c>
      <c r="S15" s="117"/>
      <c r="T15" s="234">
        <f t="shared" si="0"/>
        <v>0</v>
      </c>
      <c r="U15" s="117"/>
      <c r="V15" s="240">
        <f t="shared" si="8"/>
        <v>0</v>
      </c>
      <c r="Z15" s="45">
        <f t="shared" si="9"/>
        <v>0</v>
      </c>
      <c r="AA15" s="45">
        <f t="shared" si="10"/>
        <v>0</v>
      </c>
    </row>
    <row r="16" spans="1:27" x14ac:dyDescent="0.25">
      <c r="A16" s="12" t="s">
        <v>8</v>
      </c>
      <c r="B16" s="13" t="s">
        <v>242</v>
      </c>
      <c r="C16" s="210">
        <v>7</v>
      </c>
      <c r="D16" s="17" t="s">
        <v>16</v>
      </c>
      <c r="E16" s="48"/>
      <c r="F16" s="49"/>
      <c r="G16" s="49"/>
      <c r="H16" s="316">
        <v>87</v>
      </c>
      <c r="I16" s="316">
        <f t="shared" si="1"/>
        <v>0</v>
      </c>
      <c r="J16" s="49"/>
      <c r="K16" s="326">
        <v>10</v>
      </c>
      <c r="L16" s="326">
        <f t="shared" si="2"/>
        <v>0</v>
      </c>
      <c r="M16" s="327">
        <f t="shared" si="3"/>
        <v>0</v>
      </c>
      <c r="N16" s="303">
        <f t="shared" si="4"/>
        <v>77</v>
      </c>
      <c r="O16" s="125"/>
      <c r="P16" s="65">
        <f t="shared" si="5"/>
        <v>0</v>
      </c>
      <c r="Q16" s="66">
        <f t="shared" si="6"/>
        <v>0</v>
      </c>
      <c r="R16" s="66">
        <f t="shared" si="7"/>
        <v>0</v>
      </c>
      <c r="S16" s="117"/>
      <c r="T16" s="80">
        <f t="shared" si="0"/>
        <v>0</v>
      </c>
      <c r="U16" s="117"/>
      <c r="V16" s="87">
        <f t="shared" si="8"/>
        <v>0</v>
      </c>
      <c r="Z16" s="45">
        <f t="shared" si="9"/>
        <v>0</v>
      </c>
      <c r="AA16" s="45">
        <f t="shared" si="10"/>
        <v>0</v>
      </c>
    </row>
    <row r="17" spans="1:27" x14ac:dyDescent="0.25">
      <c r="A17" s="12" t="s">
        <v>8</v>
      </c>
      <c r="B17" s="13" t="s">
        <v>243</v>
      </c>
      <c r="C17" s="210">
        <v>7</v>
      </c>
      <c r="D17" s="17" t="s">
        <v>16</v>
      </c>
      <c r="E17" s="48"/>
      <c r="F17" s="49"/>
      <c r="G17" s="49"/>
      <c r="H17" s="316">
        <v>37</v>
      </c>
      <c r="I17" s="316">
        <f t="shared" si="1"/>
        <v>0</v>
      </c>
      <c r="J17" s="49"/>
      <c r="K17" s="326">
        <v>4</v>
      </c>
      <c r="L17" s="326">
        <f t="shared" si="2"/>
        <v>0</v>
      </c>
      <c r="M17" s="327">
        <f t="shared" si="3"/>
        <v>0</v>
      </c>
      <c r="N17" s="303">
        <f t="shared" si="4"/>
        <v>33</v>
      </c>
      <c r="O17" s="125"/>
      <c r="P17" s="65">
        <f t="shared" si="5"/>
        <v>0</v>
      </c>
      <c r="Q17" s="66">
        <f t="shared" si="6"/>
        <v>0</v>
      </c>
      <c r="R17" s="66">
        <f t="shared" si="7"/>
        <v>0</v>
      </c>
      <c r="S17" s="117"/>
      <c r="T17" s="80">
        <f t="shared" si="0"/>
        <v>0</v>
      </c>
      <c r="U17" s="117"/>
      <c r="V17" s="87">
        <f t="shared" si="8"/>
        <v>0</v>
      </c>
      <c r="Z17" s="45">
        <f t="shared" si="9"/>
        <v>0</v>
      </c>
      <c r="AA17" s="45">
        <f t="shared" si="10"/>
        <v>0</v>
      </c>
    </row>
    <row r="18" spans="1:27" x14ac:dyDescent="0.25">
      <c r="A18" s="12" t="s">
        <v>8</v>
      </c>
      <c r="B18" s="219" t="s">
        <v>244</v>
      </c>
      <c r="C18" s="220">
        <v>7</v>
      </c>
      <c r="D18" s="221" t="s">
        <v>16</v>
      </c>
      <c r="E18" s="48"/>
      <c r="F18" s="49"/>
      <c r="G18" s="49"/>
      <c r="H18" s="316">
        <v>143</v>
      </c>
      <c r="I18" s="316">
        <f t="shared" si="1"/>
        <v>0</v>
      </c>
      <c r="J18" s="49"/>
      <c r="K18" s="326">
        <v>16</v>
      </c>
      <c r="L18" s="326">
        <f t="shared" si="2"/>
        <v>0</v>
      </c>
      <c r="M18" s="327">
        <f t="shared" si="3"/>
        <v>0</v>
      </c>
      <c r="N18" s="303">
        <f t="shared" si="4"/>
        <v>127</v>
      </c>
      <c r="O18" s="125"/>
      <c r="P18" s="65">
        <f t="shared" si="5"/>
        <v>0</v>
      </c>
      <c r="Q18" s="234">
        <f t="shared" si="6"/>
        <v>0</v>
      </c>
      <c r="R18" s="234">
        <f t="shared" si="7"/>
        <v>0</v>
      </c>
      <c r="S18" s="117"/>
      <c r="T18" s="234">
        <f t="shared" si="0"/>
        <v>0</v>
      </c>
      <c r="U18" s="117"/>
      <c r="V18" s="240">
        <f t="shared" si="8"/>
        <v>0</v>
      </c>
      <c r="Z18" s="45">
        <f t="shared" si="9"/>
        <v>0</v>
      </c>
      <c r="AA18" s="45">
        <f t="shared" si="10"/>
        <v>0</v>
      </c>
    </row>
    <row r="19" spans="1:27" x14ac:dyDescent="0.25">
      <c r="A19" s="12" t="s">
        <v>8</v>
      </c>
      <c r="B19" s="219" t="s">
        <v>245</v>
      </c>
      <c r="C19" s="220">
        <v>7</v>
      </c>
      <c r="D19" s="221" t="s">
        <v>16</v>
      </c>
      <c r="E19" s="48"/>
      <c r="F19" s="49"/>
      <c r="G19" s="49"/>
      <c r="H19" s="316">
        <v>43</v>
      </c>
      <c r="I19" s="316">
        <f t="shared" si="1"/>
        <v>0</v>
      </c>
      <c r="J19" s="49"/>
      <c r="K19" s="326">
        <v>5</v>
      </c>
      <c r="L19" s="326">
        <f t="shared" si="2"/>
        <v>0</v>
      </c>
      <c r="M19" s="327">
        <f t="shared" si="3"/>
        <v>0</v>
      </c>
      <c r="N19" s="303">
        <f t="shared" si="4"/>
        <v>38</v>
      </c>
      <c r="O19" s="125"/>
      <c r="P19" s="65">
        <f t="shared" si="5"/>
        <v>0</v>
      </c>
      <c r="Q19" s="234">
        <f t="shared" si="6"/>
        <v>0</v>
      </c>
      <c r="R19" s="234">
        <f t="shared" si="7"/>
        <v>0</v>
      </c>
      <c r="S19" s="117"/>
      <c r="T19" s="234">
        <f t="shared" si="0"/>
        <v>0</v>
      </c>
      <c r="U19" s="117"/>
      <c r="V19" s="240">
        <f t="shared" si="8"/>
        <v>0</v>
      </c>
      <c r="Z19" s="45">
        <f t="shared" si="9"/>
        <v>0</v>
      </c>
      <c r="AA19" s="45">
        <f t="shared" si="10"/>
        <v>0</v>
      </c>
    </row>
    <row r="20" spans="1:27" x14ac:dyDescent="0.25">
      <c r="A20" s="12" t="s">
        <v>8</v>
      </c>
      <c r="B20" s="13" t="s">
        <v>231</v>
      </c>
      <c r="C20" s="210">
        <v>8</v>
      </c>
      <c r="D20" s="17" t="s">
        <v>17</v>
      </c>
      <c r="E20" s="48"/>
      <c r="F20" s="49"/>
      <c r="G20" s="49"/>
      <c r="H20" s="316">
        <v>106</v>
      </c>
      <c r="I20" s="316">
        <f t="shared" si="1"/>
        <v>0</v>
      </c>
      <c r="J20" s="49"/>
      <c r="K20" s="326">
        <v>12</v>
      </c>
      <c r="L20" s="326">
        <f t="shared" si="2"/>
        <v>0</v>
      </c>
      <c r="M20" s="327">
        <f t="shared" si="3"/>
        <v>0</v>
      </c>
      <c r="N20" s="303">
        <f t="shared" si="4"/>
        <v>94</v>
      </c>
      <c r="O20" s="125"/>
      <c r="P20" s="65">
        <f t="shared" si="5"/>
        <v>0</v>
      </c>
      <c r="Q20" s="66">
        <f t="shared" si="6"/>
        <v>0</v>
      </c>
      <c r="R20" s="66">
        <f t="shared" si="7"/>
        <v>0</v>
      </c>
      <c r="S20" s="117"/>
      <c r="T20" s="80">
        <f t="shared" si="0"/>
        <v>0</v>
      </c>
      <c r="U20" s="117"/>
      <c r="V20" s="87">
        <f t="shared" si="8"/>
        <v>0</v>
      </c>
      <c r="Z20" s="45">
        <f t="shared" si="9"/>
        <v>0</v>
      </c>
      <c r="AA20" s="45">
        <f t="shared" si="10"/>
        <v>0</v>
      </c>
    </row>
    <row r="21" spans="1:27" x14ac:dyDescent="0.25">
      <c r="A21" s="12" t="s">
        <v>8</v>
      </c>
      <c r="B21" s="13" t="s">
        <v>232</v>
      </c>
      <c r="C21" s="210">
        <v>8</v>
      </c>
      <c r="D21" s="17" t="s">
        <v>17</v>
      </c>
      <c r="E21" s="48"/>
      <c r="F21" s="49"/>
      <c r="G21" s="49"/>
      <c r="H21" s="316">
        <v>53</v>
      </c>
      <c r="I21" s="316">
        <f t="shared" si="1"/>
        <v>0</v>
      </c>
      <c r="J21" s="49"/>
      <c r="K21" s="326">
        <v>6</v>
      </c>
      <c r="L21" s="326">
        <f t="shared" si="2"/>
        <v>0</v>
      </c>
      <c r="M21" s="327">
        <f t="shared" si="3"/>
        <v>0</v>
      </c>
      <c r="N21" s="303">
        <f t="shared" si="4"/>
        <v>47</v>
      </c>
      <c r="O21" s="125"/>
      <c r="P21" s="65">
        <f t="shared" si="5"/>
        <v>0</v>
      </c>
      <c r="Q21" s="66">
        <f t="shared" si="6"/>
        <v>0</v>
      </c>
      <c r="R21" s="66">
        <f t="shared" si="7"/>
        <v>0</v>
      </c>
      <c r="S21" s="117"/>
      <c r="T21" s="80">
        <f t="shared" si="0"/>
        <v>0</v>
      </c>
      <c r="U21" s="117"/>
      <c r="V21" s="87">
        <f t="shared" si="8"/>
        <v>0</v>
      </c>
      <c r="Z21" s="45">
        <f t="shared" si="9"/>
        <v>0</v>
      </c>
      <c r="AA21" s="45">
        <f t="shared" si="10"/>
        <v>0</v>
      </c>
    </row>
    <row r="22" spans="1:27" x14ac:dyDescent="0.25">
      <c r="A22" s="12" t="s">
        <v>8</v>
      </c>
      <c r="B22" s="13" t="s">
        <v>233</v>
      </c>
      <c r="C22" s="210">
        <v>8</v>
      </c>
      <c r="D22" s="17" t="s">
        <v>17</v>
      </c>
      <c r="E22" s="48"/>
      <c r="F22" s="49"/>
      <c r="G22" s="49"/>
      <c r="H22" s="316">
        <v>156</v>
      </c>
      <c r="I22" s="316">
        <f t="shared" si="1"/>
        <v>0</v>
      </c>
      <c r="J22" s="49"/>
      <c r="K22" s="326">
        <v>17</v>
      </c>
      <c r="L22" s="326">
        <f t="shared" si="2"/>
        <v>0</v>
      </c>
      <c r="M22" s="327">
        <f t="shared" si="3"/>
        <v>0</v>
      </c>
      <c r="N22" s="303">
        <f t="shared" si="4"/>
        <v>139</v>
      </c>
      <c r="O22" s="125"/>
      <c r="P22" s="65">
        <f t="shared" si="5"/>
        <v>0</v>
      </c>
      <c r="Q22" s="66">
        <f t="shared" si="6"/>
        <v>0</v>
      </c>
      <c r="R22" s="66">
        <f t="shared" si="7"/>
        <v>0</v>
      </c>
      <c r="S22" s="117"/>
      <c r="T22" s="80">
        <f t="shared" si="0"/>
        <v>0</v>
      </c>
      <c r="U22" s="117"/>
      <c r="V22" s="87">
        <f t="shared" si="8"/>
        <v>0</v>
      </c>
      <c r="Z22" s="45">
        <f t="shared" si="9"/>
        <v>0</v>
      </c>
      <c r="AA22" s="45">
        <f t="shared" si="10"/>
        <v>0</v>
      </c>
    </row>
    <row r="23" spans="1:27" x14ac:dyDescent="0.25">
      <c r="A23" s="12" t="s">
        <v>8</v>
      </c>
      <c r="B23" s="13" t="s">
        <v>234</v>
      </c>
      <c r="C23" s="210">
        <v>8</v>
      </c>
      <c r="D23" s="17" t="s">
        <v>17</v>
      </c>
      <c r="E23" s="48"/>
      <c r="F23" s="49"/>
      <c r="G23" s="49"/>
      <c r="H23" s="316">
        <v>57</v>
      </c>
      <c r="I23" s="316">
        <f t="shared" si="1"/>
        <v>0</v>
      </c>
      <c r="J23" s="49"/>
      <c r="K23" s="326">
        <v>6</v>
      </c>
      <c r="L23" s="326">
        <f t="shared" si="2"/>
        <v>0</v>
      </c>
      <c r="M23" s="327">
        <f t="shared" si="3"/>
        <v>0</v>
      </c>
      <c r="N23" s="303">
        <f t="shared" si="4"/>
        <v>51</v>
      </c>
      <c r="O23" s="125"/>
      <c r="P23" s="65">
        <f t="shared" si="5"/>
        <v>0</v>
      </c>
      <c r="Q23" s="66">
        <f t="shared" si="6"/>
        <v>0</v>
      </c>
      <c r="R23" s="66">
        <f t="shared" si="7"/>
        <v>0</v>
      </c>
      <c r="S23" s="117"/>
      <c r="T23" s="80">
        <f t="shared" si="0"/>
        <v>0</v>
      </c>
      <c r="U23" s="117"/>
      <c r="V23" s="87">
        <f t="shared" si="8"/>
        <v>0</v>
      </c>
      <c r="Z23" s="45">
        <f t="shared" si="9"/>
        <v>0</v>
      </c>
      <c r="AA23" s="45">
        <f t="shared" si="10"/>
        <v>0</v>
      </c>
    </row>
    <row r="24" spans="1:27" x14ac:dyDescent="0.25">
      <c r="A24" s="12" t="s">
        <v>8</v>
      </c>
      <c r="B24" s="13" t="s">
        <v>235</v>
      </c>
      <c r="C24" s="210">
        <v>8</v>
      </c>
      <c r="D24" s="17" t="s">
        <v>17</v>
      </c>
      <c r="E24" s="48"/>
      <c r="F24" s="49"/>
      <c r="G24" s="49"/>
      <c r="H24" s="316">
        <v>114</v>
      </c>
      <c r="I24" s="316">
        <f t="shared" si="1"/>
        <v>0</v>
      </c>
      <c r="J24" s="49"/>
      <c r="K24" s="326">
        <v>13</v>
      </c>
      <c r="L24" s="326">
        <f t="shared" si="2"/>
        <v>0</v>
      </c>
      <c r="M24" s="327">
        <f t="shared" si="3"/>
        <v>0</v>
      </c>
      <c r="N24" s="303">
        <f t="shared" si="4"/>
        <v>101</v>
      </c>
      <c r="O24" s="125"/>
      <c r="P24" s="65">
        <f t="shared" si="5"/>
        <v>0</v>
      </c>
      <c r="Q24" s="66">
        <f t="shared" si="6"/>
        <v>0</v>
      </c>
      <c r="R24" s="66">
        <f t="shared" si="7"/>
        <v>0</v>
      </c>
      <c r="S24" s="117"/>
      <c r="T24" s="80">
        <f t="shared" si="0"/>
        <v>0</v>
      </c>
      <c r="U24" s="117"/>
      <c r="V24" s="87">
        <f t="shared" si="8"/>
        <v>0</v>
      </c>
      <c r="Z24" s="45">
        <f t="shared" si="9"/>
        <v>0</v>
      </c>
      <c r="AA24" s="45">
        <f t="shared" si="10"/>
        <v>0</v>
      </c>
    </row>
    <row r="25" spans="1:27" x14ac:dyDescent="0.25">
      <c r="A25" s="12" t="s">
        <v>8</v>
      </c>
      <c r="B25" s="13" t="s">
        <v>236</v>
      </c>
      <c r="C25" s="210">
        <v>8</v>
      </c>
      <c r="D25" s="17" t="s">
        <v>17</v>
      </c>
      <c r="E25" s="48"/>
      <c r="F25" s="49"/>
      <c r="G25" s="49"/>
      <c r="H25" s="316">
        <v>51</v>
      </c>
      <c r="I25" s="316">
        <f t="shared" si="1"/>
        <v>0</v>
      </c>
      <c r="J25" s="49"/>
      <c r="K25" s="326">
        <v>6</v>
      </c>
      <c r="L25" s="326">
        <f t="shared" si="2"/>
        <v>0</v>
      </c>
      <c r="M25" s="327">
        <f t="shared" si="3"/>
        <v>0</v>
      </c>
      <c r="N25" s="303">
        <f t="shared" si="4"/>
        <v>45</v>
      </c>
      <c r="O25" s="125"/>
      <c r="P25" s="65">
        <f t="shared" si="5"/>
        <v>0</v>
      </c>
      <c r="Q25" s="66">
        <f t="shared" si="6"/>
        <v>0</v>
      </c>
      <c r="R25" s="66">
        <f t="shared" si="7"/>
        <v>0</v>
      </c>
      <c r="S25" s="117"/>
      <c r="T25" s="80">
        <f t="shared" si="0"/>
        <v>0</v>
      </c>
      <c r="U25" s="117"/>
      <c r="V25" s="87">
        <f t="shared" si="8"/>
        <v>0</v>
      </c>
      <c r="Z25" s="45">
        <f t="shared" si="9"/>
        <v>0</v>
      </c>
      <c r="AA25" s="45">
        <f t="shared" si="10"/>
        <v>0</v>
      </c>
    </row>
    <row r="26" spans="1:27" x14ac:dyDescent="0.25">
      <c r="A26" s="12" t="s">
        <v>8</v>
      </c>
      <c r="B26" s="13" t="s">
        <v>237</v>
      </c>
      <c r="C26" s="210">
        <v>8</v>
      </c>
      <c r="D26" s="17" t="s">
        <v>17</v>
      </c>
      <c r="E26" s="48"/>
      <c r="F26" s="49"/>
      <c r="G26" s="49"/>
      <c r="H26" s="316">
        <v>126</v>
      </c>
      <c r="I26" s="316">
        <f t="shared" si="1"/>
        <v>0</v>
      </c>
      <c r="J26" s="49"/>
      <c r="K26" s="326">
        <v>14</v>
      </c>
      <c r="L26" s="326">
        <f t="shared" si="2"/>
        <v>0</v>
      </c>
      <c r="M26" s="327">
        <f t="shared" si="3"/>
        <v>0</v>
      </c>
      <c r="N26" s="303">
        <f t="shared" si="4"/>
        <v>112</v>
      </c>
      <c r="O26" s="125"/>
      <c r="P26" s="65">
        <f t="shared" si="5"/>
        <v>0</v>
      </c>
      <c r="Q26" s="66">
        <f t="shared" si="6"/>
        <v>0</v>
      </c>
      <c r="R26" s="66">
        <f t="shared" si="7"/>
        <v>0</v>
      </c>
      <c r="S26" s="117"/>
      <c r="T26" s="80">
        <f t="shared" si="0"/>
        <v>0</v>
      </c>
      <c r="U26" s="117"/>
      <c r="V26" s="87">
        <f t="shared" si="8"/>
        <v>0</v>
      </c>
      <c r="Z26" s="45">
        <f t="shared" si="9"/>
        <v>0</v>
      </c>
      <c r="AA26" s="45">
        <f t="shared" si="10"/>
        <v>0</v>
      </c>
    </row>
    <row r="27" spans="1:27" x14ac:dyDescent="0.25">
      <c r="A27" s="12" t="s">
        <v>8</v>
      </c>
      <c r="B27" s="13" t="s">
        <v>238</v>
      </c>
      <c r="C27" s="210">
        <v>8</v>
      </c>
      <c r="D27" s="17" t="s">
        <v>17</v>
      </c>
      <c r="E27" s="48"/>
      <c r="F27" s="49"/>
      <c r="G27" s="49"/>
      <c r="H27" s="316">
        <v>46</v>
      </c>
      <c r="I27" s="316">
        <f t="shared" si="1"/>
        <v>0</v>
      </c>
      <c r="J27" s="49"/>
      <c r="K27" s="326">
        <v>5</v>
      </c>
      <c r="L27" s="326">
        <f t="shared" si="2"/>
        <v>0</v>
      </c>
      <c r="M27" s="327">
        <f t="shared" si="3"/>
        <v>0</v>
      </c>
      <c r="N27" s="303">
        <f t="shared" si="4"/>
        <v>41</v>
      </c>
      <c r="O27" s="125"/>
      <c r="P27" s="65">
        <f t="shared" si="5"/>
        <v>0</v>
      </c>
      <c r="Q27" s="66">
        <f t="shared" si="6"/>
        <v>0</v>
      </c>
      <c r="R27" s="66">
        <f t="shared" si="7"/>
        <v>0</v>
      </c>
      <c r="S27" s="117"/>
      <c r="T27" s="80">
        <f t="shared" si="0"/>
        <v>0</v>
      </c>
      <c r="U27" s="117"/>
      <c r="V27" s="87">
        <f t="shared" si="8"/>
        <v>0</v>
      </c>
      <c r="Z27" s="45">
        <f t="shared" si="9"/>
        <v>0</v>
      </c>
      <c r="AA27" s="45">
        <f t="shared" si="10"/>
        <v>0</v>
      </c>
    </row>
    <row r="28" spans="1:27" x14ac:dyDescent="0.25">
      <c r="A28" s="12" t="s">
        <v>8</v>
      </c>
      <c r="B28" s="219" t="s">
        <v>239</v>
      </c>
      <c r="C28" s="220">
        <v>8</v>
      </c>
      <c r="D28" s="221" t="s">
        <v>17</v>
      </c>
      <c r="E28" s="48"/>
      <c r="F28" s="49"/>
      <c r="G28" s="49"/>
      <c r="H28" s="316">
        <v>116</v>
      </c>
      <c r="I28" s="316">
        <f t="shared" si="1"/>
        <v>0</v>
      </c>
      <c r="J28" s="49"/>
      <c r="K28" s="326">
        <v>13</v>
      </c>
      <c r="L28" s="326">
        <f t="shared" si="2"/>
        <v>0</v>
      </c>
      <c r="M28" s="327">
        <f t="shared" si="3"/>
        <v>0</v>
      </c>
      <c r="N28" s="303">
        <f t="shared" si="4"/>
        <v>103</v>
      </c>
      <c r="O28" s="125"/>
      <c r="P28" s="65">
        <f t="shared" si="5"/>
        <v>0</v>
      </c>
      <c r="Q28" s="234">
        <f t="shared" si="6"/>
        <v>0</v>
      </c>
      <c r="R28" s="234">
        <f t="shared" si="7"/>
        <v>0</v>
      </c>
      <c r="S28" s="117"/>
      <c r="T28" s="234">
        <f t="shared" si="0"/>
        <v>0</v>
      </c>
      <c r="U28" s="117"/>
      <c r="V28" s="240">
        <f t="shared" si="8"/>
        <v>0</v>
      </c>
      <c r="Z28" s="45">
        <f t="shared" si="9"/>
        <v>0</v>
      </c>
      <c r="AA28" s="45">
        <f t="shared" si="10"/>
        <v>0</v>
      </c>
    </row>
    <row r="29" spans="1:27" x14ac:dyDescent="0.25">
      <c r="A29" s="12" t="s">
        <v>8</v>
      </c>
      <c r="B29" s="219" t="s">
        <v>240</v>
      </c>
      <c r="C29" s="220">
        <v>8</v>
      </c>
      <c r="D29" s="221" t="s">
        <v>17</v>
      </c>
      <c r="E29" s="48"/>
      <c r="F29" s="49"/>
      <c r="G29" s="49"/>
      <c r="H29" s="316">
        <v>71</v>
      </c>
      <c r="I29" s="316">
        <f t="shared" si="1"/>
        <v>0</v>
      </c>
      <c r="J29" s="49"/>
      <c r="K29" s="326">
        <v>8</v>
      </c>
      <c r="L29" s="326">
        <f t="shared" si="2"/>
        <v>0</v>
      </c>
      <c r="M29" s="327">
        <f t="shared" si="3"/>
        <v>0</v>
      </c>
      <c r="N29" s="303">
        <f t="shared" si="4"/>
        <v>63</v>
      </c>
      <c r="O29" s="125"/>
      <c r="P29" s="65">
        <f t="shared" si="5"/>
        <v>0</v>
      </c>
      <c r="Q29" s="234">
        <f t="shared" si="6"/>
        <v>0</v>
      </c>
      <c r="R29" s="234">
        <f t="shared" si="7"/>
        <v>0</v>
      </c>
      <c r="S29" s="117"/>
      <c r="T29" s="234">
        <f t="shared" si="0"/>
        <v>0</v>
      </c>
      <c r="U29" s="117"/>
      <c r="V29" s="240">
        <f t="shared" si="8"/>
        <v>0</v>
      </c>
      <c r="Z29" s="45">
        <f t="shared" si="9"/>
        <v>0</v>
      </c>
      <c r="AA29" s="45">
        <f t="shared" si="10"/>
        <v>0</v>
      </c>
    </row>
    <row r="30" spans="1:27" x14ac:dyDescent="0.25">
      <c r="A30" s="12" t="s">
        <v>8</v>
      </c>
      <c r="B30" s="219" t="s">
        <v>241</v>
      </c>
      <c r="C30" s="220">
        <v>8</v>
      </c>
      <c r="D30" s="221" t="s">
        <v>17</v>
      </c>
      <c r="E30" s="48"/>
      <c r="F30" s="49"/>
      <c r="G30" s="49"/>
      <c r="H30" s="316">
        <v>136</v>
      </c>
      <c r="I30" s="316">
        <f t="shared" si="1"/>
        <v>0</v>
      </c>
      <c r="J30" s="49"/>
      <c r="K30" s="326">
        <v>15</v>
      </c>
      <c r="L30" s="326">
        <f t="shared" si="2"/>
        <v>0</v>
      </c>
      <c r="M30" s="327">
        <f t="shared" si="3"/>
        <v>0</v>
      </c>
      <c r="N30" s="303">
        <f t="shared" si="4"/>
        <v>121</v>
      </c>
      <c r="O30" s="125"/>
      <c r="P30" s="65">
        <f t="shared" si="5"/>
        <v>0</v>
      </c>
      <c r="Q30" s="234">
        <f t="shared" si="6"/>
        <v>0</v>
      </c>
      <c r="R30" s="234">
        <f t="shared" si="7"/>
        <v>0</v>
      </c>
      <c r="S30" s="117"/>
      <c r="T30" s="234">
        <f t="shared" si="0"/>
        <v>0</v>
      </c>
      <c r="U30" s="117"/>
      <c r="V30" s="240">
        <f t="shared" si="8"/>
        <v>0</v>
      </c>
      <c r="Z30" s="45">
        <f t="shared" si="9"/>
        <v>0</v>
      </c>
      <c r="AA30" s="45">
        <f t="shared" si="10"/>
        <v>0</v>
      </c>
    </row>
    <row r="31" spans="1:27" x14ac:dyDescent="0.25">
      <c r="A31" s="12" t="s">
        <v>8</v>
      </c>
      <c r="B31" s="13" t="s">
        <v>242</v>
      </c>
      <c r="C31" s="210">
        <v>8</v>
      </c>
      <c r="D31" s="17" t="s">
        <v>17</v>
      </c>
      <c r="E31" s="48"/>
      <c r="F31" s="49"/>
      <c r="G31" s="49"/>
      <c r="H31" s="316">
        <v>94</v>
      </c>
      <c r="I31" s="316">
        <f t="shared" si="1"/>
        <v>0</v>
      </c>
      <c r="J31" s="49"/>
      <c r="K31" s="326">
        <v>10</v>
      </c>
      <c r="L31" s="326">
        <f t="shared" si="2"/>
        <v>0</v>
      </c>
      <c r="M31" s="327">
        <f t="shared" si="3"/>
        <v>0</v>
      </c>
      <c r="N31" s="303">
        <f t="shared" si="4"/>
        <v>84</v>
      </c>
      <c r="O31" s="125"/>
      <c r="P31" s="65">
        <f t="shared" si="5"/>
        <v>0</v>
      </c>
      <c r="Q31" s="66">
        <f t="shared" si="6"/>
        <v>0</v>
      </c>
      <c r="R31" s="66">
        <f t="shared" si="7"/>
        <v>0</v>
      </c>
      <c r="S31" s="117"/>
      <c r="T31" s="80">
        <f t="shared" si="0"/>
        <v>0</v>
      </c>
      <c r="U31" s="117"/>
      <c r="V31" s="87">
        <f t="shared" si="8"/>
        <v>0</v>
      </c>
      <c r="Z31" s="45">
        <f t="shared" si="9"/>
        <v>0</v>
      </c>
      <c r="AA31" s="45">
        <f t="shared" si="10"/>
        <v>0</v>
      </c>
    </row>
    <row r="32" spans="1:27" x14ac:dyDescent="0.25">
      <c r="A32" s="12" t="s">
        <v>8</v>
      </c>
      <c r="B32" s="13" t="s">
        <v>243</v>
      </c>
      <c r="C32" s="210">
        <v>8</v>
      </c>
      <c r="D32" s="17" t="s">
        <v>17</v>
      </c>
      <c r="E32" s="48"/>
      <c r="F32" s="49"/>
      <c r="G32" s="49"/>
      <c r="H32" s="316">
        <v>37</v>
      </c>
      <c r="I32" s="316">
        <f t="shared" si="1"/>
        <v>0</v>
      </c>
      <c r="J32" s="49"/>
      <c r="K32" s="326">
        <v>4</v>
      </c>
      <c r="L32" s="326">
        <f t="shared" si="2"/>
        <v>0</v>
      </c>
      <c r="M32" s="327">
        <f t="shared" si="3"/>
        <v>0</v>
      </c>
      <c r="N32" s="303">
        <f t="shared" si="4"/>
        <v>33</v>
      </c>
      <c r="O32" s="125"/>
      <c r="P32" s="65">
        <f t="shared" si="5"/>
        <v>0</v>
      </c>
      <c r="Q32" s="66">
        <f t="shared" si="6"/>
        <v>0</v>
      </c>
      <c r="R32" s="66">
        <f t="shared" si="7"/>
        <v>0</v>
      </c>
      <c r="S32" s="117"/>
      <c r="T32" s="80">
        <f t="shared" si="0"/>
        <v>0</v>
      </c>
      <c r="U32" s="117"/>
      <c r="V32" s="87">
        <f t="shared" si="8"/>
        <v>0</v>
      </c>
      <c r="Z32" s="45">
        <f t="shared" si="9"/>
        <v>0</v>
      </c>
      <c r="AA32" s="45">
        <f t="shared" si="10"/>
        <v>0</v>
      </c>
    </row>
    <row r="33" spans="1:27" x14ac:dyDescent="0.25">
      <c r="A33" s="12" t="s">
        <v>8</v>
      </c>
      <c r="B33" s="219" t="s">
        <v>244</v>
      </c>
      <c r="C33" s="220">
        <v>8</v>
      </c>
      <c r="D33" s="221" t="s">
        <v>17</v>
      </c>
      <c r="E33" s="48"/>
      <c r="F33" s="49"/>
      <c r="G33" s="49"/>
      <c r="H33" s="316">
        <v>150</v>
      </c>
      <c r="I33" s="316">
        <f t="shared" si="1"/>
        <v>0</v>
      </c>
      <c r="J33" s="49"/>
      <c r="K33" s="326">
        <v>17</v>
      </c>
      <c r="L33" s="326">
        <f t="shared" si="2"/>
        <v>0</v>
      </c>
      <c r="M33" s="327">
        <f t="shared" si="3"/>
        <v>0</v>
      </c>
      <c r="N33" s="303">
        <f t="shared" si="4"/>
        <v>133</v>
      </c>
      <c r="O33" s="125"/>
      <c r="P33" s="65">
        <f t="shared" si="5"/>
        <v>0</v>
      </c>
      <c r="Q33" s="234">
        <f t="shared" si="6"/>
        <v>0</v>
      </c>
      <c r="R33" s="234">
        <f t="shared" si="7"/>
        <v>0</v>
      </c>
      <c r="S33" s="117"/>
      <c r="T33" s="234">
        <f t="shared" si="0"/>
        <v>0</v>
      </c>
      <c r="U33" s="117"/>
      <c r="V33" s="240">
        <f t="shared" si="8"/>
        <v>0</v>
      </c>
      <c r="Z33" s="45">
        <f t="shared" si="9"/>
        <v>0</v>
      </c>
      <c r="AA33" s="45">
        <f t="shared" si="10"/>
        <v>0</v>
      </c>
    </row>
    <row r="34" spans="1:27" x14ac:dyDescent="0.25">
      <c r="A34" s="12" t="s">
        <v>8</v>
      </c>
      <c r="B34" s="219" t="s">
        <v>245</v>
      </c>
      <c r="C34" s="220">
        <v>8</v>
      </c>
      <c r="D34" s="221" t="s">
        <v>17</v>
      </c>
      <c r="E34" s="48"/>
      <c r="F34" s="49"/>
      <c r="G34" s="49"/>
      <c r="H34" s="316">
        <v>52</v>
      </c>
      <c r="I34" s="316">
        <f t="shared" si="1"/>
        <v>0</v>
      </c>
      <c r="J34" s="49"/>
      <c r="K34" s="326">
        <v>6</v>
      </c>
      <c r="L34" s="326">
        <f t="shared" si="2"/>
        <v>0</v>
      </c>
      <c r="M34" s="327">
        <f t="shared" si="3"/>
        <v>0</v>
      </c>
      <c r="N34" s="303">
        <f t="shared" si="4"/>
        <v>46</v>
      </c>
      <c r="O34" s="125"/>
      <c r="P34" s="65">
        <f t="shared" si="5"/>
        <v>0</v>
      </c>
      <c r="Q34" s="234">
        <f t="shared" si="6"/>
        <v>0</v>
      </c>
      <c r="R34" s="234">
        <f t="shared" si="7"/>
        <v>0</v>
      </c>
      <c r="S34" s="117"/>
      <c r="T34" s="234">
        <f t="shared" si="0"/>
        <v>0</v>
      </c>
      <c r="U34" s="117"/>
      <c r="V34" s="240">
        <f t="shared" si="8"/>
        <v>0</v>
      </c>
      <c r="Z34" s="45">
        <f t="shared" si="9"/>
        <v>0</v>
      </c>
      <c r="AA34" s="45">
        <f t="shared" si="10"/>
        <v>0</v>
      </c>
    </row>
    <row r="35" spans="1:27" x14ac:dyDescent="0.25">
      <c r="A35" s="12" t="s">
        <v>8</v>
      </c>
      <c r="B35" s="13" t="s">
        <v>231</v>
      </c>
      <c r="C35" s="210">
        <v>9</v>
      </c>
      <c r="D35" s="17" t="s">
        <v>170</v>
      </c>
      <c r="E35" s="48"/>
      <c r="F35" s="49"/>
      <c r="G35" s="49"/>
      <c r="H35" s="316">
        <v>98</v>
      </c>
      <c r="I35" s="316">
        <f t="shared" si="1"/>
        <v>0</v>
      </c>
      <c r="J35" s="49"/>
      <c r="K35" s="326">
        <v>11</v>
      </c>
      <c r="L35" s="326">
        <f t="shared" si="2"/>
        <v>0</v>
      </c>
      <c r="M35" s="327">
        <f t="shared" si="3"/>
        <v>0</v>
      </c>
      <c r="N35" s="303">
        <f t="shared" si="4"/>
        <v>87</v>
      </c>
      <c r="O35" s="125"/>
      <c r="P35" s="65">
        <f t="shared" si="5"/>
        <v>0</v>
      </c>
      <c r="Q35" s="66">
        <f t="shared" si="6"/>
        <v>0</v>
      </c>
      <c r="R35" s="66">
        <f t="shared" si="7"/>
        <v>0</v>
      </c>
      <c r="S35" s="117"/>
      <c r="T35" s="80">
        <f t="shared" si="0"/>
        <v>0</v>
      </c>
      <c r="U35" s="117"/>
      <c r="V35" s="87">
        <f t="shared" si="8"/>
        <v>0</v>
      </c>
      <c r="Z35" s="45">
        <f t="shared" si="9"/>
        <v>0</v>
      </c>
      <c r="AA35" s="45">
        <f t="shared" si="10"/>
        <v>0</v>
      </c>
    </row>
    <row r="36" spans="1:27" x14ac:dyDescent="0.25">
      <c r="A36" s="12" t="s">
        <v>8</v>
      </c>
      <c r="B36" s="13" t="s">
        <v>232</v>
      </c>
      <c r="C36" s="210">
        <v>9</v>
      </c>
      <c r="D36" s="17" t="s">
        <v>170</v>
      </c>
      <c r="E36" s="48"/>
      <c r="F36" s="49"/>
      <c r="G36" s="49"/>
      <c r="H36" s="316">
        <v>47</v>
      </c>
      <c r="I36" s="316">
        <f t="shared" si="1"/>
        <v>0</v>
      </c>
      <c r="J36" s="49"/>
      <c r="K36" s="326">
        <v>5</v>
      </c>
      <c r="L36" s="326">
        <f t="shared" si="2"/>
        <v>0</v>
      </c>
      <c r="M36" s="327">
        <f t="shared" si="3"/>
        <v>0</v>
      </c>
      <c r="N36" s="303">
        <f t="shared" si="4"/>
        <v>42</v>
      </c>
      <c r="O36" s="125"/>
      <c r="P36" s="65">
        <f t="shared" si="5"/>
        <v>0</v>
      </c>
      <c r="Q36" s="66">
        <f t="shared" si="6"/>
        <v>0</v>
      </c>
      <c r="R36" s="66">
        <f t="shared" si="7"/>
        <v>0</v>
      </c>
      <c r="S36" s="117"/>
      <c r="T36" s="80">
        <f t="shared" si="0"/>
        <v>0</v>
      </c>
      <c r="U36" s="117"/>
      <c r="V36" s="87">
        <f t="shared" si="8"/>
        <v>0</v>
      </c>
      <c r="Z36" s="45">
        <f t="shared" si="9"/>
        <v>0</v>
      </c>
      <c r="AA36" s="45">
        <f t="shared" si="10"/>
        <v>0</v>
      </c>
    </row>
    <row r="37" spans="1:27" x14ac:dyDescent="0.25">
      <c r="A37" s="12" t="s">
        <v>8</v>
      </c>
      <c r="B37" s="13" t="s">
        <v>233</v>
      </c>
      <c r="C37" s="210">
        <v>9</v>
      </c>
      <c r="D37" s="17" t="s">
        <v>170</v>
      </c>
      <c r="E37" s="48"/>
      <c r="F37" s="49"/>
      <c r="G37" s="49"/>
      <c r="H37" s="316">
        <v>132</v>
      </c>
      <c r="I37" s="316">
        <f t="shared" si="1"/>
        <v>0</v>
      </c>
      <c r="J37" s="49"/>
      <c r="K37" s="326">
        <v>15</v>
      </c>
      <c r="L37" s="326">
        <f t="shared" si="2"/>
        <v>0</v>
      </c>
      <c r="M37" s="327">
        <f t="shared" si="3"/>
        <v>0</v>
      </c>
      <c r="N37" s="303">
        <f t="shared" si="4"/>
        <v>117</v>
      </c>
      <c r="O37" s="125"/>
      <c r="P37" s="65">
        <f t="shared" si="5"/>
        <v>0</v>
      </c>
      <c r="Q37" s="66">
        <f t="shared" si="6"/>
        <v>0</v>
      </c>
      <c r="R37" s="66">
        <f t="shared" si="7"/>
        <v>0</v>
      </c>
      <c r="S37" s="117"/>
      <c r="T37" s="80">
        <f t="shared" ref="T37:T68" si="11">S37*H37</f>
        <v>0</v>
      </c>
      <c r="U37" s="117"/>
      <c r="V37" s="87">
        <f t="shared" si="8"/>
        <v>0</v>
      </c>
      <c r="Z37" s="45">
        <f t="shared" si="9"/>
        <v>0</v>
      </c>
      <c r="AA37" s="45">
        <f t="shared" si="10"/>
        <v>0</v>
      </c>
    </row>
    <row r="38" spans="1:27" x14ac:dyDescent="0.25">
      <c r="A38" s="12" t="s">
        <v>8</v>
      </c>
      <c r="B38" s="13" t="s">
        <v>234</v>
      </c>
      <c r="C38" s="210">
        <v>9</v>
      </c>
      <c r="D38" s="17" t="s">
        <v>170</v>
      </c>
      <c r="E38" s="48"/>
      <c r="F38" s="49"/>
      <c r="G38" s="49"/>
      <c r="H38" s="316">
        <v>51</v>
      </c>
      <c r="I38" s="316">
        <f t="shared" si="1"/>
        <v>0</v>
      </c>
      <c r="J38" s="49"/>
      <c r="K38" s="326">
        <v>6</v>
      </c>
      <c r="L38" s="326">
        <f t="shared" si="2"/>
        <v>0</v>
      </c>
      <c r="M38" s="327">
        <f t="shared" si="3"/>
        <v>0</v>
      </c>
      <c r="N38" s="303">
        <f t="shared" si="4"/>
        <v>45</v>
      </c>
      <c r="O38" s="125"/>
      <c r="P38" s="65">
        <f t="shared" si="5"/>
        <v>0</v>
      </c>
      <c r="Q38" s="66">
        <f t="shared" si="6"/>
        <v>0</v>
      </c>
      <c r="R38" s="66">
        <f t="shared" si="7"/>
        <v>0</v>
      </c>
      <c r="S38" s="117"/>
      <c r="T38" s="80">
        <f t="shared" si="11"/>
        <v>0</v>
      </c>
      <c r="U38" s="117"/>
      <c r="V38" s="87">
        <f t="shared" si="8"/>
        <v>0</v>
      </c>
      <c r="Z38" s="45">
        <f t="shared" si="9"/>
        <v>0</v>
      </c>
      <c r="AA38" s="45">
        <f t="shared" si="10"/>
        <v>0</v>
      </c>
    </row>
    <row r="39" spans="1:27" x14ac:dyDescent="0.25">
      <c r="A39" s="12" t="s">
        <v>8</v>
      </c>
      <c r="B39" s="13" t="s">
        <v>235</v>
      </c>
      <c r="C39" s="210">
        <v>9</v>
      </c>
      <c r="D39" s="17" t="s">
        <v>170</v>
      </c>
      <c r="E39" s="48"/>
      <c r="F39" s="49"/>
      <c r="G39" s="49"/>
      <c r="H39" s="316">
        <v>114</v>
      </c>
      <c r="I39" s="316">
        <f t="shared" si="1"/>
        <v>0</v>
      </c>
      <c r="J39" s="49"/>
      <c r="K39" s="326">
        <v>13</v>
      </c>
      <c r="L39" s="326">
        <f t="shared" si="2"/>
        <v>0</v>
      </c>
      <c r="M39" s="327">
        <f t="shared" si="3"/>
        <v>0</v>
      </c>
      <c r="N39" s="303">
        <f t="shared" si="4"/>
        <v>101</v>
      </c>
      <c r="O39" s="125"/>
      <c r="P39" s="65">
        <f t="shared" si="5"/>
        <v>0</v>
      </c>
      <c r="Q39" s="66">
        <f t="shared" si="6"/>
        <v>0</v>
      </c>
      <c r="R39" s="66">
        <f t="shared" si="7"/>
        <v>0</v>
      </c>
      <c r="S39" s="117"/>
      <c r="T39" s="80">
        <f t="shared" si="11"/>
        <v>0</v>
      </c>
      <c r="U39" s="117"/>
      <c r="V39" s="87">
        <f t="shared" si="8"/>
        <v>0</v>
      </c>
      <c r="Z39" s="45">
        <f t="shared" si="9"/>
        <v>0</v>
      </c>
      <c r="AA39" s="45">
        <f t="shared" si="10"/>
        <v>0</v>
      </c>
    </row>
    <row r="40" spans="1:27" x14ac:dyDescent="0.25">
      <c r="A40" s="12" t="s">
        <v>8</v>
      </c>
      <c r="B40" s="13" t="s">
        <v>236</v>
      </c>
      <c r="C40" s="210">
        <v>9</v>
      </c>
      <c r="D40" s="17" t="s">
        <v>170</v>
      </c>
      <c r="E40" s="48"/>
      <c r="F40" s="49"/>
      <c r="G40" s="49"/>
      <c r="H40" s="316">
        <v>43</v>
      </c>
      <c r="I40" s="316">
        <f t="shared" si="1"/>
        <v>0</v>
      </c>
      <c r="J40" s="49"/>
      <c r="K40" s="326">
        <v>5</v>
      </c>
      <c r="L40" s="326">
        <f t="shared" si="2"/>
        <v>0</v>
      </c>
      <c r="M40" s="327">
        <f t="shared" si="3"/>
        <v>0</v>
      </c>
      <c r="N40" s="303">
        <f t="shared" si="4"/>
        <v>38</v>
      </c>
      <c r="O40" s="125"/>
      <c r="P40" s="65">
        <f t="shared" si="5"/>
        <v>0</v>
      </c>
      <c r="Q40" s="66">
        <f t="shared" si="6"/>
        <v>0</v>
      </c>
      <c r="R40" s="66">
        <f t="shared" si="7"/>
        <v>0</v>
      </c>
      <c r="S40" s="117"/>
      <c r="T40" s="80">
        <f t="shared" si="11"/>
        <v>0</v>
      </c>
      <c r="U40" s="117"/>
      <c r="V40" s="87">
        <f t="shared" si="8"/>
        <v>0</v>
      </c>
      <c r="Z40" s="45">
        <f t="shared" si="9"/>
        <v>0</v>
      </c>
      <c r="AA40" s="45">
        <f t="shared" si="10"/>
        <v>0</v>
      </c>
    </row>
    <row r="41" spans="1:27" x14ac:dyDescent="0.25">
      <c r="A41" s="12" t="s">
        <v>8</v>
      </c>
      <c r="B41" s="13" t="s">
        <v>237</v>
      </c>
      <c r="C41" s="210">
        <v>9</v>
      </c>
      <c r="D41" s="17" t="s">
        <v>170</v>
      </c>
      <c r="E41" s="48"/>
      <c r="F41" s="49"/>
      <c r="G41" s="49"/>
      <c r="H41" s="316">
        <v>130</v>
      </c>
      <c r="I41" s="316">
        <f t="shared" si="1"/>
        <v>0</v>
      </c>
      <c r="J41" s="49"/>
      <c r="K41" s="326">
        <v>14</v>
      </c>
      <c r="L41" s="326">
        <f t="shared" si="2"/>
        <v>0</v>
      </c>
      <c r="M41" s="327">
        <f t="shared" si="3"/>
        <v>0</v>
      </c>
      <c r="N41" s="303">
        <f t="shared" si="4"/>
        <v>116</v>
      </c>
      <c r="O41" s="125"/>
      <c r="P41" s="65">
        <f t="shared" si="5"/>
        <v>0</v>
      </c>
      <c r="Q41" s="66">
        <f t="shared" si="6"/>
        <v>0</v>
      </c>
      <c r="R41" s="66">
        <f t="shared" si="7"/>
        <v>0</v>
      </c>
      <c r="S41" s="117"/>
      <c r="T41" s="80">
        <f t="shared" si="11"/>
        <v>0</v>
      </c>
      <c r="U41" s="117"/>
      <c r="V41" s="87">
        <f t="shared" si="8"/>
        <v>0</v>
      </c>
      <c r="Z41" s="45">
        <f t="shared" si="9"/>
        <v>0</v>
      </c>
      <c r="AA41" s="45">
        <f t="shared" si="10"/>
        <v>0</v>
      </c>
    </row>
    <row r="42" spans="1:27" x14ac:dyDescent="0.25">
      <c r="A42" s="12" t="s">
        <v>8</v>
      </c>
      <c r="B42" s="13" t="s">
        <v>238</v>
      </c>
      <c r="C42" s="210">
        <v>9</v>
      </c>
      <c r="D42" s="17" t="s">
        <v>170</v>
      </c>
      <c r="E42" s="48"/>
      <c r="F42" s="49"/>
      <c r="G42" s="49"/>
      <c r="H42" s="316">
        <v>47</v>
      </c>
      <c r="I42" s="316">
        <f t="shared" si="1"/>
        <v>0</v>
      </c>
      <c r="J42" s="49"/>
      <c r="K42" s="326">
        <v>5</v>
      </c>
      <c r="L42" s="326">
        <f t="shared" si="2"/>
        <v>0</v>
      </c>
      <c r="M42" s="327">
        <f t="shared" si="3"/>
        <v>0</v>
      </c>
      <c r="N42" s="303">
        <f t="shared" si="4"/>
        <v>42</v>
      </c>
      <c r="O42" s="125"/>
      <c r="P42" s="65">
        <f t="shared" si="5"/>
        <v>0</v>
      </c>
      <c r="Q42" s="66">
        <f t="shared" si="6"/>
        <v>0</v>
      </c>
      <c r="R42" s="66">
        <f t="shared" si="7"/>
        <v>0</v>
      </c>
      <c r="S42" s="117"/>
      <c r="T42" s="80">
        <f t="shared" si="11"/>
        <v>0</v>
      </c>
      <c r="U42" s="117"/>
      <c r="V42" s="87">
        <f t="shared" si="8"/>
        <v>0</v>
      </c>
      <c r="Z42" s="45">
        <f t="shared" si="9"/>
        <v>0</v>
      </c>
      <c r="AA42" s="45">
        <f t="shared" si="10"/>
        <v>0</v>
      </c>
    </row>
    <row r="43" spans="1:27" x14ac:dyDescent="0.25">
      <c r="A43" s="12" t="s">
        <v>8</v>
      </c>
      <c r="B43" s="219" t="s">
        <v>239</v>
      </c>
      <c r="C43" s="220">
        <v>9</v>
      </c>
      <c r="D43" s="221" t="s">
        <v>170</v>
      </c>
      <c r="E43" s="48"/>
      <c r="F43" s="49"/>
      <c r="G43" s="49"/>
      <c r="H43" s="316">
        <v>110</v>
      </c>
      <c r="I43" s="316">
        <f t="shared" si="1"/>
        <v>0</v>
      </c>
      <c r="J43" s="49"/>
      <c r="K43" s="326">
        <v>12</v>
      </c>
      <c r="L43" s="326">
        <f t="shared" si="2"/>
        <v>0</v>
      </c>
      <c r="M43" s="327">
        <f t="shared" si="3"/>
        <v>0</v>
      </c>
      <c r="N43" s="303">
        <f t="shared" si="4"/>
        <v>98</v>
      </c>
      <c r="O43" s="125"/>
      <c r="P43" s="65">
        <f t="shared" si="5"/>
        <v>0</v>
      </c>
      <c r="Q43" s="234">
        <f t="shared" si="6"/>
        <v>0</v>
      </c>
      <c r="R43" s="234">
        <f t="shared" si="7"/>
        <v>0</v>
      </c>
      <c r="S43" s="117"/>
      <c r="T43" s="234">
        <f t="shared" si="11"/>
        <v>0</v>
      </c>
      <c r="U43" s="117"/>
      <c r="V43" s="240">
        <f t="shared" si="8"/>
        <v>0</v>
      </c>
      <c r="Z43" s="45">
        <f t="shared" si="9"/>
        <v>0</v>
      </c>
      <c r="AA43" s="45">
        <f t="shared" si="10"/>
        <v>0</v>
      </c>
    </row>
    <row r="44" spans="1:27" x14ac:dyDescent="0.25">
      <c r="A44" s="12" t="s">
        <v>8</v>
      </c>
      <c r="B44" s="219" t="s">
        <v>240</v>
      </c>
      <c r="C44" s="220">
        <v>9</v>
      </c>
      <c r="D44" s="221" t="s">
        <v>170</v>
      </c>
      <c r="E44" s="48"/>
      <c r="F44" s="49"/>
      <c r="G44" s="49"/>
      <c r="H44" s="316">
        <v>71</v>
      </c>
      <c r="I44" s="316">
        <f t="shared" si="1"/>
        <v>0</v>
      </c>
      <c r="J44" s="49"/>
      <c r="K44" s="326">
        <v>8</v>
      </c>
      <c r="L44" s="326">
        <f t="shared" si="2"/>
        <v>0</v>
      </c>
      <c r="M44" s="327">
        <f t="shared" si="3"/>
        <v>0</v>
      </c>
      <c r="N44" s="303">
        <f t="shared" si="4"/>
        <v>63</v>
      </c>
      <c r="O44" s="125"/>
      <c r="P44" s="65">
        <f t="shared" si="5"/>
        <v>0</v>
      </c>
      <c r="Q44" s="234">
        <f t="shared" si="6"/>
        <v>0</v>
      </c>
      <c r="R44" s="234">
        <f t="shared" si="7"/>
        <v>0</v>
      </c>
      <c r="S44" s="117"/>
      <c r="T44" s="234">
        <f t="shared" si="11"/>
        <v>0</v>
      </c>
      <c r="U44" s="117"/>
      <c r="V44" s="240">
        <f t="shared" si="8"/>
        <v>0</v>
      </c>
      <c r="Z44" s="45">
        <f t="shared" si="9"/>
        <v>0</v>
      </c>
      <c r="AA44" s="45">
        <f t="shared" si="10"/>
        <v>0</v>
      </c>
    </row>
    <row r="45" spans="1:27" x14ac:dyDescent="0.25">
      <c r="A45" s="12" t="s">
        <v>8</v>
      </c>
      <c r="B45" s="219" t="s">
        <v>241</v>
      </c>
      <c r="C45" s="220">
        <v>9</v>
      </c>
      <c r="D45" s="221" t="s">
        <v>170</v>
      </c>
      <c r="E45" s="48"/>
      <c r="F45" s="49"/>
      <c r="G45" s="49"/>
      <c r="H45" s="316">
        <v>132</v>
      </c>
      <c r="I45" s="316">
        <f t="shared" si="1"/>
        <v>0</v>
      </c>
      <c r="J45" s="49"/>
      <c r="K45" s="326">
        <v>15</v>
      </c>
      <c r="L45" s="326">
        <f t="shared" si="2"/>
        <v>0</v>
      </c>
      <c r="M45" s="327">
        <f t="shared" si="3"/>
        <v>0</v>
      </c>
      <c r="N45" s="303">
        <f t="shared" si="4"/>
        <v>117</v>
      </c>
      <c r="O45" s="125"/>
      <c r="P45" s="65">
        <f t="shared" si="5"/>
        <v>0</v>
      </c>
      <c r="Q45" s="234">
        <f t="shared" si="6"/>
        <v>0</v>
      </c>
      <c r="R45" s="234">
        <f t="shared" si="7"/>
        <v>0</v>
      </c>
      <c r="S45" s="117"/>
      <c r="T45" s="234">
        <f t="shared" si="11"/>
        <v>0</v>
      </c>
      <c r="U45" s="117"/>
      <c r="V45" s="240">
        <f t="shared" si="8"/>
        <v>0</v>
      </c>
      <c r="Z45" s="45">
        <f t="shared" si="9"/>
        <v>0</v>
      </c>
      <c r="AA45" s="45">
        <f t="shared" si="10"/>
        <v>0</v>
      </c>
    </row>
    <row r="46" spans="1:27" x14ac:dyDescent="0.25">
      <c r="A46" s="12" t="s">
        <v>8</v>
      </c>
      <c r="B46" s="13" t="s">
        <v>242</v>
      </c>
      <c r="C46" s="210">
        <v>9</v>
      </c>
      <c r="D46" s="17" t="s">
        <v>170</v>
      </c>
      <c r="E46" s="48"/>
      <c r="F46" s="49"/>
      <c r="G46" s="49"/>
      <c r="H46" s="316">
        <v>89</v>
      </c>
      <c r="I46" s="316">
        <f t="shared" si="1"/>
        <v>0</v>
      </c>
      <c r="J46" s="49"/>
      <c r="K46" s="326">
        <v>10</v>
      </c>
      <c r="L46" s="326">
        <f t="shared" si="2"/>
        <v>0</v>
      </c>
      <c r="M46" s="327">
        <f t="shared" si="3"/>
        <v>0</v>
      </c>
      <c r="N46" s="303">
        <f t="shared" si="4"/>
        <v>79</v>
      </c>
      <c r="O46" s="125"/>
      <c r="P46" s="65">
        <f t="shared" si="5"/>
        <v>0</v>
      </c>
      <c r="Q46" s="66">
        <f t="shared" si="6"/>
        <v>0</v>
      </c>
      <c r="R46" s="66">
        <f t="shared" si="7"/>
        <v>0</v>
      </c>
      <c r="S46" s="117"/>
      <c r="T46" s="80">
        <f t="shared" si="11"/>
        <v>0</v>
      </c>
      <c r="U46" s="117"/>
      <c r="V46" s="87">
        <f t="shared" si="8"/>
        <v>0</v>
      </c>
      <c r="Z46" s="45">
        <f t="shared" si="9"/>
        <v>0</v>
      </c>
      <c r="AA46" s="45">
        <f t="shared" si="10"/>
        <v>0</v>
      </c>
    </row>
    <row r="47" spans="1:27" x14ac:dyDescent="0.25">
      <c r="A47" s="12" t="s">
        <v>8</v>
      </c>
      <c r="B47" s="13" t="s">
        <v>243</v>
      </c>
      <c r="C47" s="210">
        <v>9</v>
      </c>
      <c r="D47" s="17" t="s">
        <v>170</v>
      </c>
      <c r="E47" s="48"/>
      <c r="F47" s="49"/>
      <c r="G47" s="49"/>
      <c r="H47" s="316">
        <v>41</v>
      </c>
      <c r="I47" s="316">
        <f t="shared" si="1"/>
        <v>0</v>
      </c>
      <c r="J47" s="49"/>
      <c r="K47" s="326">
        <v>4</v>
      </c>
      <c r="L47" s="326">
        <f t="shared" si="2"/>
        <v>0</v>
      </c>
      <c r="M47" s="327">
        <f t="shared" si="3"/>
        <v>0</v>
      </c>
      <c r="N47" s="303">
        <f t="shared" si="4"/>
        <v>37</v>
      </c>
      <c r="O47" s="125"/>
      <c r="P47" s="65">
        <f t="shared" si="5"/>
        <v>0</v>
      </c>
      <c r="Q47" s="66">
        <f t="shared" si="6"/>
        <v>0</v>
      </c>
      <c r="R47" s="66">
        <f t="shared" si="7"/>
        <v>0</v>
      </c>
      <c r="S47" s="117"/>
      <c r="T47" s="80">
        <f t="shared" si="11"/>
        <v>0</v>
      </c>
      <c r="U47" s="117"/>
      <c r="V47" s="87">
        <f t="shared" si="8"/>
        <v>0</v>
      </c>
      <c r="Z47" s="45">
        <f t="shared" si="9"/>
        <v>0</v>
      </c>
      <c r="AA47" s="45">
        <f t="shared" si="10"/>
        <v>0</v>
      </c>
    </row>
    <row r="48" spans="1:27" x14ac:dyDescent="0.25">
      <c r="A48" s="12" t="s">
        <v>8</v>
      </c>
      <c r="B48" s="219" t="s">
        <v>244</v>
      </c>
      <c r="C48" s="220">
        <v>9</v>
      </c>
      <c r="D48" s="221" t="s">
        <v>170</v>
      </c>
      <c r="E48" s="48"/>
      <c r="F48" s="49"/>
      <c r="G48" s="49"/>
      <c r="H48" s="316">
        <v>133</v>
      </c>
      <c r="I48" s="316">
        <f t="shared" si="1"/>
        <v>0</v>
      </c>
      <c r="J48" s="49"/>
      <c r="K48" s="326">
        <v>15</v>
      </c>
      <c r="L48" s="326">
        <f t="shared" si="2"/>
        <v>0</v>
      </c>
      <c r="M48" s="327">
        <f t="shared" si="3"/>
        <v>0</v>
      </c>
      <c r="N48" s="303">
        <f t="shared" si="4"/>
        <v>118</v>
      </c>
      <c r="O48" s="125"/>
      <c r="P48" s="65">
        <f t="shared" si="5"/>
        <v>0</v>
      </c>
      <c r="Q48" s="234">
        <f t="shared" si="6"/>
        <v>0</v>
      </c>
      <c r="R48" s="234">
        <f t="shared" si="7"/>
        <v>0</v>
      </c>
      <c r="S48" s="117"/>
      <c r="T48" s="234">
        <f t="shared" si="11"/>
        <v>0</v>
      </c>
      <c r="U48" s="117"/>
      <c r="V48" s="240">
        <f t="shared" si="8"/>
        <v>0</v>
      </c>
      <c r="Z48" s="45">
        <f t="shared" si="9"/>
        <v>0</v>
      </c>
      <c r="AA48" s="45">
        <f t="shared" si="10"/>
        <v>0</v>
      </c>
    </row>
    <row r="49" spans="1:27" x14ac:dyDescent="0.25">
      <c r="A49" s="12" t="s">
        <v>8</v>
      </c>
      <c r="B49" s="219" t="s">
        <v>245</v>
      </c>
      <c r="C49" s="220">
        <v>9</v>
      </c>
      <c r="D49" s="221" t="s">
        <v>170</v>
      </c>
      <c r="E49" s="48"/>
      <c r="F49" s="49"/>
      <c r="G49" s="49"/>
      <c r="H49" s="316">
        <v>46</v>
      </c>
      <c r="I49" s="316">
        <f t="shared" si="1"/>
        <v>0</v>
      </c>
      <c r="J49" s="49"/>
      <c r="K49" s="326">
        <v>5</v>
      </c>
      <c r="L49" s="326">
        <f t="shared" si="2"/>
        <v>0</v>
      </c>
      <c r="M49" s="327">
        <f t="shared" si="3"/>
        <v>0</v>
      </c>
      <c r="N49" s="303">
        <f t="shared" si="4"/>
        <v>41</v>
      </c>
      <c r="O49" s="125"/>
      <c r="P49" s="65">
        <f t="shared" si="5"/>
        <v>0</v>
      </c>
      <c r="Q49" s="234">
        <f t="shared" si="6"/>
        <v>0</v>
      </c>
      <c r="R49" s="234">
        <f t="shared" si="7"/>
        <v>0</v>
      </c>
      <c r="S49" s="117"/>
      <c r="T49" s="234">
        <f t="shared" si="11"/>
        <v>0</v>
      </c>
      <c r="U49" s="117"/>
      <c r="V49" s="240">
        <f t="shared" si="8"/>
        <v>0</v>
      </c>
      <c r="Z49" s="45">
        <f t="shared" si="9"/>
        <v>0</v>
      </c>
      <c r="AA49" s="45">
        <f t="shared" si="10"/>
        <v>0</v>
      </c>
    </row>
    <row r="50" spans="1:27" x14ac:dyDescent="0.25">
      <c r="A50" s="8" t="s">
        <v>11</v>
      </c>
      <c r="B50" s="14" t="s">
        <v>231</v>
      </c>
      <c r="C50" s="211">
        <v>7</v>
      </c>
      <c r="D50" s="18" t="s">
        <v>16</v>
      </c>
      <c r="E50" s="50"/>
      <c r="F50" s="51"/>
      <c r="G50" s="51"/>
      <c r="H50" s="317">
        <v>101</v>
      </c>
      <c r="I50" s="317">
        <f t="shared" si="1"/>
        <v>0</v>
      </c>
      <c r="J50" s="51"/>
      <c r="K50" s="328">
        <v>11</v>
      </c>
      <c r="L50" s="328">
        <f t="shared" si="2"/>
        <v>0</v>
      </c>
      <c r="M50" s="329">
        <f t="shared" si="3"/>
        <v>0</v>
      </c>
      <c r="N50" s="304">
        <f t="shared" si="4"/>
        <v>90</v>
      </c>
      <c r="O50" s="126"/>
      <c r="P50" s="67">
        <f t="shared" si="5"/>
        <v>0</v>
      </c>
      <c r="Q50" s="68">
        <f t="shared" si="6"/>
        <v>0</v>
      </c>
      <c r="R50" s="68">
        <f t="shared" si="7"/>
        <v>0</v>
      </c>
      <c r="S50" s="118"/>
      <c r="T50" s="81">
        <f t="shared" si="11"/>
        <v>0</v>
      </c>
      <c r="U50" s="118"/>
      <c r="V50" s="88">
        <f t="shared" si="8"/>
        <v>0</v>
      </c>
      <c r="Z50" s="45">
        <f t="shared" si="9"/>
        <v>0</v>
      </c>
      <c r="AA50" s="45">
        <f t="shared" si="10"/>
        <v>0</v>
      </c>
    </row>
    <row r="51" spans="1:27" x14ac:dyDescent="0.25">
      <c r="A51" s="8" t="s">
        <v>11</v>
      </c>
      <c r="B51" s="14" t="s">
        <v>232</v>
      </c>
      <c r="C51" s="211">
        <v>7</v>
      </c>
      <c r="D51" s="18" t="s">
        <v>16</v>
      </c>
      <c r="E51" s="50"/>
      <c r="F51" s="51"/>
      <c r="G51" s="51"/>
      <c r="H51" s="317">
        <v>53</v>
      </c>
      <c r="I51" s="317">
        <f t="shared" si="1"/>
        <v>0</v>
      </c>
      <c r="J51" s="51"/>
      <c r="K51" s="328">
        <v>6</v>
      </c>
      <c r="L51" s="328">
        <f t="shared" si="2"/>
        <v>0</v>
      </c>
      <c r="M51" s="329">
        <f t="shared" si="3"/>
        <v>0</v>
      </c>
      <c r="N51" s="304">
        <f t="shared" si="4"/>
        <v>47</v>
      </c>
      <c r="O51" s="126"/>
      <c r="P51" s="67">
        <f t="shared" si="5"/>
        <v>0</v>
      </c>
      <c r="Q51" s="68">
        <f t="shared" si="6"/>
        <v>0</v>
      </c>
      <c r="R51" s="68">
        <f t="shared" si="7"/>
        <v>0</v>
      </c>
      <c r="S51" s="118"/>
      <c r="T51" s="81">
        <f t="shared" si="11"/>
        <v>0</v>
      </c>
      <c r="U51" s="118"/>
      <c r="V51" s="88">
        <f t="shared" si="8"/>
        <v>0</v>
      </c>
      <c r="Z51" s="45">
        <f t="shared" si="9"/>
        <v>0</v>
      </c>
      <c r="AA51" s="45">
        <f t="shared" si="10"/>
        <v>0</v>
      </c>
    </row>
    <row r="52" spans="1:27" x14ac:dyDescent="0.25">
      <c r="A52" s="8" t="s">
        <v>11</v>
      </c>
      <c r="B52" s="14" t="s">
        <v>233</v>
      </c>
      <c r="C52" s="211">
        <v>7</v>
      </c>
      <c r="D52" s="18" t="s">
        <v>16</v>
      </c>
      <c r="E52" s="50"/>
      <c r="F52" s="51"/>
      <c r="G52" s="51"/>
      <c r="H52" s="317">
        <v>139</v>
      </c>
      <c r="I52" s="317">
        <f t="shared" si="1"/>
        <v>0</v>
      </c>
      <c r="J52" s="51"/>
      <c r="K52" s="328">
        <v>15</v>
      </c>
      <c r="L52" s="328">
        <f t="shared" si="2"/>
        <v>0</v>
      </c>
      <c r="M52" s="329">
        <f t="shared" si="3"/>
        <v>0</v>
      </c>
      <c r="N52" s="304">
        <f t="shared" si="4"/>
        <v>124</v>
      </c>
      <c r="O52" s="126"/>
      <c r="P52" s="67">
        <f t="shared" si="5"/>
        <v>0</v>
      </c>
      <c r="Q52" s="68">
        <f t="shared" si="6"/>
        <v>0</v>
      </c>
      <c r="R52" s="68">
        <f t="shared" si="7"/>
        <v>0</v>
      </c>
      <c r="S52" s="118"/>
      <c r="T52" s="81">
        <f t="shared" si="11"/>
        <v>0</v>
      </c>
      <c r="U52" s="118"/>
      <c r="V52" s="88">
        <f t="shared" si="8"/>
        <v>0</v>
      </c>
      <c r="Z52" s="45">
        <f t="shared" si="9"/>
        <v>0</v>
      </c>
      <c r="AA52" s="45">
        <f t="shared" si="10"/>
        <v>0</v>
      </c>
    </row>
    <row r="53" spans="1:27" x14ac:dyDescent="0.25">
      <c r="A53" s="8" t="s">
        <v>11</v>
      </c>
      <c r="B53" s="14" t="s">
        <v>234</v>
      </c>
      <c r="C53" s="211">
        <v>7</v>
      </c>
      <c r="D53" s="18" t="s">
        <v>16</v>
      </c>
      <c r="E53" s="50"/>
      <c r="F53" s="51"/>
      <c r="G53" s="51"/>
      <c r="H53" s="317">
        <v>47</v>
      </c>
      <c r="I53" s="317">
        <f t="shared" si="1"/>
        <v>0</v>
      </c>
      <c r="J53" s="51"/>
      <c r="K53" s="328">
        <v>5</v>
      </c>
      <c r="L53" s="328">
        <f t="shared" si="2"/>
        <v>0</v>
      </c>
      <c r="M53" s="329">
        <f t="shared" si="3"/>
        <v>0</v>
      </c>
      <c r="N53" s="304">
        <f t="shared" si="4"/>
        <v>42</v>
      </c>
      <c r="O53" s="126"/>
      <c r="P53" s="67">
        <f t="shared" si="5"/>
        <v>0</v>
      </c>
      <c r="Q53" s="68">
        <f t="shared" si="6"/>
        <v>0</v>
      </c>
      <c r="R53" s="68">
        <f t="shared" si="7"/>
        <v>0</v>
      </c>
      <c r="S53" s="118"/>
      <c r="T53" s="81">
        <f t="shared" si="11"/>
        <v>0</v>
      </c>
      <c r="U53" s="118"/>
      <c r="V53" s="88">
        <f t="shared" si="8"/>
        <v>0</v>
      </c>
      <c r="Z53" s="45">
        <f t="shared" si="9"/>
        <v>0</v>
      </c>
      <c r="AA53" s="45">
        <f t="shared" si="10"/>
        <v>0</v>
      </c>
    </row>
    <row r="54" spans="1:27" x14ac:dyDescent="0.25">
      <c r="A54" s="8" t="s">
        <v>11</v>
      </c>
      <c r="B54" s="14" t="s">
        <v>235</v>
      </c>
      <c r="C54" s="211">
        <v>7</v>
      </c>
      <c r="D54" s="18" t="s">
        <v>16</v>
      </c>
      <c r="E54" s="50"/>
      <c r="F54" s="51"/>
      <c r="G54" s="51"/>
      <c r="H54" s="317">
        <v>112</v>
      </c>
      <c r="I54" s="317">
        <f t="shared" si="1"/>
        <v>0</v>
      </c>
      <c r="J54" s="51"/>
      <c r="K54" s="328">
        <v>12</v>
      </c>
      <c r="L54" s="328">
        <f t="shared" si="2"/>
        <v>0</v>
      </c>
      <c r="M54" s="329">
        <f t="shared" si="3"/>
        <v>0</v>
      </c>
      <c r="N54" s="304">
        <f t="shared" si="4"/>
        <v>100</v>
      </c>
      <c r="O54" s="126"/>
      <c r="P54" s="67">
        <f t="shared" si="5"/>
        <v>0</v>
      </c>
      <c r="Q54" s="68">
        <f t="shared" si="6"/>
        <v>0</v>
      </c>
      <c r="R54" s="68">
        <f t="shared" si="7"/>
        <v>0</v>
      </c>
      <c r="S54" s="118"/>
      <c r="T54" s="81">
        <f t="shared" si="11"/>
        <v>0</v>
      </c>
      <c r="U54" s="118"/>
      <c r="V54" s="88">
        <f t="shared" si="8"/>
        <v>0</v>
      </c>
      <c r="Z54" s="45">
        <f t="shared" si="9"/>
        <v>0</v>
      </c>
      <c r="AA54" s="45">
        <f t="shared" si="10"/>
        <v>0</v>
      </c>
    </row>
    <row r="55" spans="1:27" x14ac:dyDescent="0.25">
      <c r="A55" s="8" t="s">
        <v>11</v>
      </c>
      <c r="B55" s="14" t="s">
        <v>236</v>
      </c>
      <c r="C55" s="211">
        <v>7</v>
      </c>
      <c r="D55" s="18" t="s">
        <v>16</v>
      </c>
      <c r="E55" s="50"/>
      <c r="F55" s="51"/>
      <c r="G55" s="51"/>
      <c r="H55" s="317">
        <v>49</v>
      </c>
      <c r="I55" s="317">
        <f t="shared" si="1"/>
        <v>0</v>
      </c>
      <c r="J55" s="51"/>
      <c r="K55" s="328">
        <v>5</v>
      </c>
      <c r="L55" s="328">
        <f t="shared" si="2"/>
        <v>0</v>
      </c>
      <c r="M55" s="329">
        <f t="shared" si="3"/>
        <v>0</v>
      </c>
      <c r="N55" s="304">
        <f t="shared" si="4"/>
        <v>44</v>
      </c>
      <c r="O55" s="126"/>
      <c r="P55" s="67">
        <f t="shared" si="5"/>
        <v>0</v>
      </c>
      <c r="Q55" s="68">
        <f t="shared" si="6"/>
        <v>0</v>
      </c>
      <c r="R55" s="68">
        <f t="shared" si="7"/>
        <v>0</v>
      </c>
      <c r="S55" s="118"/>
      <c r="T55" s="81">
        <f t="shared" si="11"/>
        <v>0</v>
      </c>
      <c r="U55" s="118"/>
      <c r="V55" s="88">
        <f t="shared" si="8"/>
        <v>0</v>
      </c>
      <c r="Z55" s="45">
        <f t="shared" si="9"/>
        <v>0</v>
      </c>
      <c r="AA55" s="45">
        <f t="shared" si="10"/>
        <v>0</v>
      </c>
    </row>
    <row r="56" spans="1:27" x14ac:dyDescent="0.25">
      <c r="A56" s="8" t="s">
        <v>11</v>
      </c>
      <c r="B56" s="14" t="s">
        <v>237</v>
      </c>
      <c r="C56" s="211">
        <v>7</v>
      </c>
      <c r="D56" s="18" t="s">
        <v>16</v>
      </c>
      <c r="E56" s="50"/>
      <c r="F56" s="51"/>
      <c r="G56" s="51"/>
      <c r="H56" s="317">
        <v>110</v>
      </c>
      <c r="I56" s="317">
        <f t="shared" si="1"/>
        <v>0</v>
      </c>
      <c r="J56" s="51"/>
      <c r="K56" s="328">
        <v>12</v>
      </c>
      <c r="L56" s="328">
        <f t="shared" si="2"/>
        <v>0</v>
      </c>
      <c r="M56" s="329">
        <f t="shared" si="3"/>
        <v>0</v>
      </c>
      <c r="N56" s="304">
        <f t="shared" si="4"/>
        <v>98</v>
      </c>
      <c r="O56" s="126"/>
      <c r="P56" s="67">
        <f t="shared" si="5"/>
        <v>0</v>
      </c>
      <c r="Q56" s="68">
        <f t="shared" si="6"/>
        <v>0</v>
      </c>
      <c r="R56" s="68">
        <f t="shared" si="7"/>
        <v>0</v>
      </c>
      <c r="S56" s="118"/>
      <c r="T56" s="81">
        <f t="shared" si="11"/>
        <v>0</v>
      </c>
      <c r="U56" s="118"/>
      <c r="V56" s="88">
        <f t="shared" si="8"/>
        <v>0</v>
      </c>
      <c r="Z56" s="45">
        <f t="shared" si="9"/>
        <v>0</v>
      </c>
      <c r="AA56" s="45">
        <f t="shared" si="10"/>
        <v>0</v>
      </c>
    </row>
    <row r="57" spans="1:27" x14ac:dyDescent="0.25">
      <c r="A57" s="8" t="s">
        <v>11</v>
      </c>
      <c r="B57" s="14" t="s">
        <v>238</v>
      </c>
      <c r="C57" s="211">
        <v>7</v>
      </c>
      <c r="D57" s="18" t="s">
        <v>16</v>
      </c>
      <c r="E57" s="50"/>
      <c r="F57" s="51"/>
      <c r="G57" s="51"/>
      <c r="H57" s="317">
        <v>44</v>
      </c>
      <c r="I57" s="317">
        <f t="shared" si="1"/>
        <v>0</v>
      </c>
      <c r="J57" s="51"/>
      <c r="K57" s="328">
        <v>5</v>
      </c>
      <c r="L57" s="328">
        <f t="shared" si="2"/>
        <v>0</v>
      </c>
      <c r="M57" s="329">
        <f t="shared" si="3"/>
        <v>0</v>
      </c>
      <c r="N57" s="304">
        <f t="shared" si="4"/>
        <v>39</v>
      </c>
      <c r="O57" s="126"/>
      <c r="P57" s="67">
        <f t="shared" si="5"/>
        <v>0</v>
      </c>
      <c r="Q57" s="68">
        <f t="shared" si="6"/>
        <v>0</v>
      </c>
      <c r="R57" s="68">
        <f t="shared" si="7"/>
        <v>0</v>
      </c>
      <c r="S57" s="118"/>
      <c r="T57" s="81">
        <f t="shared" si="11"/>
        <v>0</v>
      </c>
      <c r="U57" s="118"/>
      <c r="V57" s="88">
        <f t="shared" si="8"/>
        <v>0</v>
      </c>
      <c r="Z57" s="45">
        <f t="shared" si="9"/>
        <v>0</v>
      </c>
      <c r="AA57" s="45">
        <f t="shared" si="10"/>
        <v>0</v>
      </c>
    </row>
    <row r="58" spans="1:27" x14ac:dyDescent="0.25">
      <c r="A58" s="8" t="s">
        <v>11</v>
      </c>
      <c r="B58" s="222" t="s">
        <v>239</v>
      </c>
      <c r="C58" s="223">
        <v>7</v>
      </c>
      <c r="D58" s="224" t="s">
        <v>16</v>
      </c>
      <c r="E58" s="50"/>
      <c r="F58" s="51"/>
      <c r="G58" s="51"/>
      <c r="H58" s="317">
        <v>126</v>
      </c>
      <c r="I58" s="317">
        <f t="shared" si="1"/>
        <v>0</v>
      </c>
      <c r="J58" s="51"/>
      <c r="K58" s="328">
        <v>14</v>
      </c>
      <c r="L58" s="328">
        <f t="shared" si="2"/>
        <v>0</v>
      </c>
      <c r="M58" s="329">
        <f t="shared" si="3"/>
        <v>0</v>
      </c>
      <c r="N58" s="304">
        <f t="shared" si="4"/>
        <v>112</v>
      </c>
      <c r="O58" s="126"/>
      <c r="P58" s="67">
        <f t="shared" si="5"/>
        <v>0</v>
      </c>
      <c r="Q58" s="235">
        <f t="shared" si="6"/>
        <v>0</v>
      </c>
      <c r="R58" s="235">
        <f t="shared" si="7"/>
        <v>0</v>
      </c>
      <c r="S58" s="118"/>
      <c r="T58" s="235">
        <f t="shared" si="11"/>
        <v>0</v>
      </c>
      <c r="U58" s="118"/>
      <c r="V58" s="241">
        <f t="shared" si="8"/>
        <v>0</v>
      </c>
      <c r="Z58" s="45">
        <f t="shared" si="9"/>
        <v>0</v>
      </c>
      <c r="AA58" s="45">
        <f t="shared" si="10"/>
        <v>0</v>
      </c>
    </row>
    <row r="59" spans="1:27" x14ac:dyDescent="0.25">
      <c r="A59" s="8" t="s">
        <v>11</v>
      </c>
      <c r="B59" s="222" t="s">
        <v>240</v>
      </c>
      <c r="C59" s="223">
        <v>7</v>
      </c>
      <c r="D59" s="224" t="s">
        <v>16</v>
      </c>
      <c r="E59" s="50"/>
      <c r="F59" s="51"/>
      <c r="G59" s="51"/>
      <c r="H59" s="317">
        <v>66</v>
      </c>
      <c r="I59" s="317">
        <f t="shared" si="1"/>
        <v>0</v>
      </c>
      <c r="J59" s="51"/>
      <c r="K59" s="328">
        <v>7</v>
      </c>
      <c r="L59" s="328">
        <f t="shared" si="2"/>
        <v>0</v>
      </c>
      <c r="M59" s="329">
        <f t="shared" si="3"/>
        <v>0</v>
      </c>
      <c r="N59" s="304">
        <f t="shared" si="4"/>
        <v>59</v>
      </c>
      <c r="O59" s="126"/>
      <c r="P59" s="67">
        <f t="shared" si="5"/>
        <v>0</v>
      </c>
      <c r="Q59" s="235">
        <f t="shared" si="6"/>
        <v>0</v>
      </c>
      <c r="R59" s="235">
        <f t="shared" si="7"/>
        <v>0</v>
      </c>
      <c r="S59" s="118"/>
      <c r="T59" s="235">
        <f t="shared" si="11"/>
        <v>0</v>
      </c>
      <c r="U59" s="118"/>
      <c r="V59" s="241">
        <f t="shared" si="8"/>
        <v>0</v>
      </c>
      <c r="Z59" s="45">
        <f t="shared" si="9"/>
        <v>0</v>
      </c>
      <c r="AA59" s="45">
        <f t="shared" si="10"/>
        <v>0</v>
      </c>
    </row>
    <row r="60" spans="1:27" x14ac:dyDescent="0.25">
      <c r="A60" s="8" t="s">
        <v>11</v>
      </c>
      <c r="B60" s="222" t="s">
        <v>241</v>
      </c>
      <c r="C60" s="223">
        <v>7</v>
      </c>
      <c r="D60" s="224" t="s">
        <v>16</v>
      </c>
      <c r="E60" s="50"/>
      <c r="F60" s="51"/>
      <c r="G60" s="51"/>
      <c r="H60" s="317">
        <v>120</v>
      </c>
      <c r="I60" s="317">
        <f t="shared" si="1"/>
        <v>0</v>
      </c>
      <c r="J60" s="51"/>
      <c r="K60" s="328">
        <v>13</v>
      </c>
      <c r="L60" s="328">
        <f t="shared" si="2"/>
        <v>0</v>
      </c>
      <c r="M60" s="329">
        <f t="shared" si="3"/>
        <v>0</v>
      </c>
      <c r="N60" s="304">
        <f t="shared" si="4"/>
        <v>107</v>
      </c>
      <c r="O60" s="126"/>
      <c r="P60" s="67">
        <f t="shared" si="5"/>
        <v>0</v>
      </c>
      <c r="Q60" s="235">
        <f t="shared" si="6"/>
        <v>0</v>
      </c>
      <c r="R60" s="235">
        <f t="shared" si="7"/>
        <v>0</v>
      </c>
      <c r="S60" s="118"/>
      <c r="T60" s="235">
        <f t="shared" si="11"/>
        <v>0</v>
      </c>
      <c r="U60" s="118"/>
      <c r="V60" s="241">
        <f t="shared" si="8"/>
        <v>0</v>
      </c>
      <c r="Z60" s="45">
        <f t="shared" si="9"/>
        <v>0</v>
      </c>
      <c r="AA60" s="45">
        <f t="shared" si="10"/>
        <v>0</v>
      </c>
    </row>
    <row r="61" spans="1:27" x14ac:dyDescent="0.25">
      <c r="A61" s="8" t="s">
        <v>11</v>
      </c>
      <c r="B61" s="222" t="s">
        <v>244</v>
      </c>
      <c r="C61" s="223">
        <v>7</v>
      </c>
      <c r="D61" s="224" t="s">
        <v>16</v>
      </c>
      <c r="E61" s="50"/>
      <c r="F61" s="51"/>
      <c r="G61" s="51"/>
      <c r="H61" s="317">
        <v>158</v>
      </c>
      <c r="I61" s="317">
        <f t="shared" si="1"/>
        <v>0</v>
      </c>
      <c r="J61" s="51"/>
      <c r="K61" s="328">
        <v>17</v>
      </c>
      <c r="L61" s="328">
        <f t="shared" si="2"/>
        <v>0</v>
      </c>
      <c r="M61" s="329">
        <f t="shared" si="3"/>
        <v>0</v>
      </c>
      <c r="N61" s="304">
        <f t="shared" si="4"/>
        <v>141</v>
      </c>
      <c r="O61" s="126"/>
      <c r="P61" s="67">
        <f t="shared" si="5"/>
        <v>0</v>
      </c>
      <c r="Q61" s="235">
        <f t="shared" si="6"/>
        <v>0</v>
      </c>
      <c r="R61" s="235">
        <f t="shared" si="7"/>
        <v>0</v>
      </c>
      <c r="S61" s="118"/>
      <c r="T61" s="235">
        <f t="shared" si="11"/>
        <v>0</v>
      </c>
      <c r="U61" s="118"/>
      <c r="V61" s="241">
        <f t="shared" si="8"/>
        <v>0</v>
      </c>
      <c r="Z61" s="45">
        <f t="shared" si="9"/>
        <v>0</v>
      </c>
      <c r="AA61" s="45">
        <f t="shared" si="10"/>
        <v>0</v>
      </c>
    </row>
    <row r="62" spans="1:27" x14ac:dyDescent="0.25">
      <c r="A62" s="8" t="s">
        <v>11</v>
      </c>
      <c r="B62" s="222" t="s">
        <v>245</v>
      </c>
      <c r="C62" s="223">
        <v>7</v>
      </c>
      <c r="D62" s="224" t="s">
        <v>16</v>
      </c>
      <c r="E62" s="50"/>
      <c r="F62" s="51"/>
      <c r="G62" s="51"/>
      <c r="H62" s="317">
        <v>56</v>
      </c>
      <c r="I62" s="317">
        <f t="shared" si="1"/>
        <v>0</v>
      </c>
      <c r="J62" s="51"/>
      <c r="K62" s="328">
        <v>6</v>
      </c>
      <c r="L62" s="328">
        <f t="shared" si="2"/>
        <v>0</v>
      </c>
      <c r="M62" s="329">
        <f t="shared" si="3"/>
        <v>0</v>
      </c>
      <c r="N62" s="304">
        <f t="shared" si="4"/>
        <v>50</v>
      </c>
      <c r="O62" s="126"/>
      <c r="P62" s="67">
        <f t="shared" si="5"/>
        <v>0</v>
      </c>
      <c r="Q62" s="235">
        <f t="shared" si="6"/>
        <v>0</v>
      </c>
      <c r="R62" s="235">
        <f t="shared" si="7"/>
        <v>0</v>
      </c>
      <c r="S62" s="118"/>
      <c r="T62" s="235">
        <f t="shared" si="11"/>
        <v>0</v>
      </c>
      <c r="U62" s="118"/>
      <c r="V62" s="241">
        <f t="shared" si="8"/>
        <v>0</v>
      </c>
      <c r="Z62" s="45">
        <f t="shared" si="9"/>
        <v>0</v>
      </c>
      <c r="AA62" s="45">
        <f t="shared" si="10"/>
        <v>0</v>
      </c>
    </row>
    <row r="63" spans="1:27" x14ac:dyDescent="0.25">
      <c r="A63" s="8" t="s">
        <v>11</v>
      </c>
      <c r="B63" s="14" t="s">
        <v>231</v>
      </c>
      <c r="C63" s="211">
        <v>8</v>
      </c>
      <c r="D63" s="18" t="s">
        <v>17</v>
      </c>
      <c r="E63" s="50"/>
      <c r="F63" s="51"/>
      <c r="G63" s="51"/>
      <c r="H63" s="317">
        <v>112</v>
      </c>
      <c r="I63" s="317">
        <f t="shared" si="1"/>
        <v>0</v>
      </c>
      <c r="J63" s="51"/>
      <c r="K63" s="328">
        <v>12</v>
      </c>
      <c r="L63" s="328">
        <f t="shared" si="2"/>
        <v>0</v>
      </c>
      <c r="M63" s="329">
        <f t="shared" si="3"/>
        <v>0</v>
      </c>
      <c r="N63" s="304">
        <f t="shared" si="4"/>
        <v>100</v>
      </c>
      <c r="O63" s="126"/>
      <c r="P63" s="67">
        <f t="shared" si="5"/>
        <v>0</v>
      </c>
      <c r="Q63" s="68">
        <f t="shared" si="6"/>
        <v>0</v>
      </c>
      <c r="R63" s="68">
        <f t="shared" si="7"/>
        <v>0</v>
      </c>
      <c r="S63" s="118"/>
      <c r="T63" s="81">
        <f t="shared" si="11"/>
        <v>0</v>
      </c>
      <c r="U63" s="118"/>
      <c r="V63" s="88">
        <f t="shared" si="8"/>
        <v>0</v>
      </c>
      <c r="Z63" s="45">
        <f t="shared" si="9"/>
        <v>0</v>
      </c>
      <c r="AA63" s="45">
        <f t="shared" si="10"/>
        <v>0</v>
      </c>
    </row>
    <row r="64" spans="1:27" x14ac:dyDescent="0.25">
      <c r="A64" s="8" t="s">
        <v>11</v>
      </c>
      <c r="B64" s="14" t="s">
        <v>232</v>
      </c>
      <c r="C64" s="211">
        <v>8</v>
      </c>
      <c r="D64" s="18" t="s">
        <v>17</v>
      </c>
      <c r="E64" s="50"/>
      <c r="F64" s="51"/>
      <c r="G64" s="51"/>
      <c r="H64" s="317">
        <v>61</v>
      </c>
      <c r="I64" s="317">
        <f t="shared" si="1"/>
        <v>0</v>
      </c>
      <c r="J64" s="51"/>
      <c r="K64" s="328">
        <v>7</v>
      </c>
      <c r="L64" s="328">
        <f t="shared" si="2"/>
        <v>0</v>
      </c>
      <c r="M64" s="329">
        <f t="shared" si="3"/>
        <v>0</v>
      </c>
      <c r="N64" s="304">
        <f t="shared" si="4"/>
        <v>54</v>
      </c>
      <c r="O64" s="126"/>
      <c r="P64" s="67">
        <f t="shared" si="5"/>
        <v>0</v>
      </c>
      <c r="Q64" s="68">
        <f t="shared" si="6"/>
        <v>0</v>
      </c>
      <c r="R64" s="68">
        <f t="shared" si="7"/>
        <v>0</v>
      </c>
      <c r="S64" s="118"/>
      <c r="T64" s="81">
        <f t="shared" si="11"/>
        <v>0</v>
      </c>
      <c r="U64" s="118"/>
      <c r="V64" s="88">
        <f t="shared" si="8"/>
        <v>0</v>
      </c>
      <c r="Z64" s="45">
        <f t="shared" si="9"/>
        <v>0</v>
      </c>
      <c r="AA64" s="45">
        <f t="shared" si="10"/>
        <v>0</v>
      </c>
    </row>
    <row r="65" spans="1:27" x14ac:dyDescent="0.25">
      <c r="A65" s="8" t="s">
        <v>11</v>
      </c>
      <c r="B65" s="14" t="s">
        <v>233</v>
      </c>
      <c r="C65" s="211">
        <v>8</v>
      </c>
      <c r="D65" s="18" t="s">
        <v>17</v>
      </c>
      <c r="E65" s="50"/>
      <c r="F65" s="51"/>
      <c r="G65" s="51"/>
      <c r="H65" s="317">
        <v>139</v>
      </c>
      <c r="I65" s="317">
        <f t="shared" si="1"/>
        <v>0</v>
      </c>
      <c r="J65" s="51"/>
      <c r="K65" s="328">
        <v>15</v>
      </c>
      <c r="L65" s="328">
        <f t="shared" si="2"/>
        <v>0</v>
      </c>
      <c r="M65" s="329">
        <f t="shared" si="3"/>
        <v>0</v>
      </c>
      <c r="N65" s="304">
        <f t="shared" si="4"/>
        <v>124</v>
      </c>
      <c r="O65" s="126"/>
      <c r="P65" s="67">
        <f t="shared" si="5"/>
        <v>0</v>
      </c>
      <c r="Q65" s="68">
        <f t="shared" si="6"/>
        <v>0</v>
      </c>
      <c r="R65" s="68">
        <f t="shared" si="7"/>
        <v>0</v>
      </c>
      <c r="S65" s="118"/>
      <c r="T65" s="81">
        <f t="shared" si="11"/>
        <v>0</v>
      </c>
      <c r="U65" s="118"/>
      <c r="V65" s="88">
        <f t="shared" si="8"/>
        <v>0</v>
      </c>
      <c r="Z65" s="45">
        <f t="shared" si="9"/>
        <v>0</v>
      </c>
      <c r="AA65" s="45">
        <f t="shared" si="10"/>
        <v>0</v>
      </c>
    </row>
    <row r="66" spans="1:27" x14ac:dyDescent="0.25">
      <c r="A66" s="8" t="s">
        <v>11</v>
      </c>
      <c r="B66" s="14" t="s">
        <v>234</v>
      </c>
      <c r="C66" s="211">
        <v>8</v>
      </c>
      <c r="D66" s="18" t="s">
        <v>17</v>
      </c>
      <c r="E66" s="50"/>
      <c r="F66" s="51"/>
      <c r="G66" s="51"/>
      <c r="H66" s="317">
        <v>47</v>
      </c>
      <c r="I66" s="317">
        <f t="shared" si="1"/>
        <v>0</v>
      </c>
      <c r="J66" s="51"/>
      <c r="K66" s="328">
        <v>5</v>
      </c>
      <c r="L66" s="328">
        <f t="shared" si="2"/>
        <v>0</v>
      </c>
      <c r="M66" s="329">
        <f t="shared" si="3"/>
        <v>0</v>
      </c>
      <c r="N66" s="304">
        <f t="shared" si="4"/>
        <v>42</v>
      </c>
      <c r="O66" s="126"/>
      <c r="P66" s="67">
        <f t="shared" si="5"/>
        <v>0</v>
      </c>
      <c r="Q66" s="68">
        <f t="shared" si="6"/>
        <v>0</v>
      </c>
      <c r="R66" s="68">
        <f t="shared" si="7"/>
        <v>0</v>
      </c>
      <c r="S66" s="118"/>
      <c r="T66" s="81">
        <f t="shared" si="11"/>
        <v>0</v>
      </c>
      <c r="U66" s="118"/>
      <c r="V66" s="88">
        <f t="shared" si="8"/>
        <v>0</v>
      </c>
      <c r="Z66" s="45">
        <f t="shared" si="9"/>
        <v>0</v>
      </c>
      <c r="AA66" s="45">
        <f t="shared" si="10"/>
        <v>0</v>
      </c>
    </row>
    <row r="67" spans="1:27" x14ac:dyDescent="0.25">
      <c r="A67" s="8" t="s">
        <v>11</v>
      </c>
      <c r="B67" s="14" t="s">
        <v>235</v>
      </c>
      <c r="C67" s="211">
        <v>8</v>
      </c>
      <c r="D67" s="18" t="s">
        <v>17</v>
      </c>
      <c r="E67" s="50"/>
      <c r="F67" s="51"/>
      <c r="G67" s="51"/>
      <c r="H67" s="317">
        <v>131</v>
      </c>
      <c r="I67" s="317">
        <f t="shared" si="1"/>
        <v>0</v>
      </c>
      <c r="J67" s="51"/>
      <c r="K67" s="328">
        <v>14</v>
      </c>
      <c r="L67" s="328">
        <f t="shared" si="2"/>
        <v>0</v>
      </c>
      <c r="M67" s="329">
        <f t="shared" si="3"/>
        <v>0</v>
      </c>
      <c r="N67" s="304">
        <f t="shared" si="4"/>
        <v>117</v>
      </c>
      <c r="O67" s="126"/>
      <c r="P67" s="67">
        <f t="shared" si="5"/>
        <v>0</v>
      </c>
      <c r="Q67" s="68">
        <f t="shared" si="6"/>
        <v>0</v>
      </c>
      <c r="R67" s="68">
        <f t="shared" si="7"/>
        <v>0</v>
      </c>
      <c r="S67" s="118"/>
      <c r="T67" s="81">
        <f t="shared" si="11"/>
        <v>0</v>
      </c>
      <c r="U67" s="118"/>
      <c r="V67" s="88">
        <f t="shared" si="8"/>
        <v>0</v>
      </c>
      <c r="Z67" s="45">
        <f t="shared" si="9"/>
        <v>0</v>
      </c>
      <c r="AA67" s="45">
        <f t="shared" si="10"/>
        <v>0</v>
      </c>
    </row>
    <row r="68" spans="1:27" x14ac:dyDescent="0.25">
      <c r="A68" s="8" t="s">
        <v>11</v>
      </c>
      <c r="B68" s="14" t="s">
        <v>236</v>
      </c>
      <c r="C68" s="211">
        <v>8</v>
      </c>
      <c r="D68" s="18" t="s">
        <v>17</v>
      </c>
      <c r="E68" s="50"/>
      <c r="F68" s="51"/>
      <c r="G68" s="51"/>
      <c r="H68" s="317">
        <v>46</v>
      </c>
      <c r="I68" s="317">
        <f t="shared" si="1"/>
        <v>0</v>
      </c>
      <c r="J68" s="51"/>
      <c r="K68" s="328">
        <v>5</v>
      </c>
      <c r="L68" s="328">
        <f t="shared" si="2"/>
        <v>0</v>
      </c>
      <c r="M68" s="329">
        <f t="shared" si="3"/>
        <v>0</v>
      </c>
      <c r="N68" s="304">
        <f t="shared" si="4"/>
        <v>41</v>
      </c>
      <c r="O68" s="126"/>
      <c r="P68" s="67">
        <f t="shared" si="5"/>
        <v>0</v>
      </c>
      <c r="Q68" s="68">
        <f t="shared" si="6"/>
        <v>0</v>
      </c>
      <c r="R68" s="68">
        <f t="shared" si="7"/>
        <v>0</v>
      </c>
      <c r="S68" s="118"/>
      <c r="T68" s="81">
        <f t="shared" si="11"/>
        <v>0</v>
      </c>
      <c r="U68" s="118"/>
      <c r="V68" s="88">
        <f t="shared" si="8"/>
        <v>0</v>
      </c>
      <c r="Z68" s="45">
        <f t="shared" si="9"/>
        <v>0</v>
      </c>
      <c r="AA68" s="45">
        <f t="shared" si="10"/>
        <v>0</v>
      </c>
    </row>
    <row r="69" spans="1:27" x14ac:dyDescent="0.25">
      <c r="A69" s="8" t="s">
        <v>11</v>
      </c>
      <c r="B69" s="14" t="s">
        <v>237</v>
      </c>
      <c r="C69" s="211">
        <v>8</v>
      </c>
      <c r="D69" s="18" t="s">
        <v>17</v>
      </c>
      <c r="E69" s="50"/>
      <c r="F69" s="51"/>
      <c r="G69" s="51"/>
      <c r="H69" s="317">
        <v>114</v>
      </c>
      <c r="I69" s="317">
        <f t="shared" si="1"/>
        <v>0</v>
      </c>
      <c r="J69" s="51"/>
      <c r="K69" s="328">
        <v>13</v>
      </c>
      <c r="L69" s="328">
        <f t="shared" si="2"/>
        <v>0</v>
      </c>
      <c r="M69" s="329">
        <f t="shared" si="3"/>
        <v>0</v>
      </c>
      <c r="N69" s="304">
        <f t="shared" si="4"/>
        <v>101</v>
      </c>
      <c r="O69" s="126"/>
      <c r="P69" s="67">
        <f t="shared" si="5"/>
        <v>0</v>
      </c>
      <c r="Q69" s="68">
        <f t="shared" si="6"/>
        <v>0</v>
      </c>
      <c r="R69" s="68">
        <f t="shared" si="7"/>
        <v>0</v>
      </c>
      <c r="S69" s="118"/>
      <c r="T69" s="81">
        <f t="shared" ref="T69:T100" si="12">S69*H69</f>
        <v>0</v>
      </c>
      <c r="U69" s="118"/>
      <c r="V69" s="88">
        <f t="shared" si="8"/>
        <v>0</v>
      </c>
      <c r="Z69" s="45">
        <f t="shared" si="9"/>
        <v>0</v>
      </c>
      <c r="AA69" s="45">
        <f t="shared" si="10"/>
        <v>0</v>
      </c>
    </row>
    <row r="70" spans="1:27" x14ac:dyDescent="0.25">
      <c r="A70" s="8" t="s">
        <v>11</v>
      </c>
      <c r="B70" s="14" t="s">
        <v>238</v>
      </c>
      <c r="C70" s="211">
        <v>8</v>
      </c>
      <c r="D70" s="18" t="s">
        <v>17</v>
      </c>
      <c r="E70" s="50"/>
      <c r="F70" s="51"/>
      <c r="G70" s="51"/>
      <c r="H70" s="317">
        <v>54</v>
      </c>
      <c r="I70" s="317">
        <f t="shared" ref="I70:I133" si="13">G70*H70</f>
        <v>0</v>
      </c>
      <c r="J70" s="51"/>
      <c r="K70" s="328">
        <v>6</v>
      </c>
      <c r="L70" s="328">
        <f t="shared" ref="L70:L133" si="14">J70*K70</f>
        <v>0</v>
      </c>
      <c r="M70" s="329">
        <f t="shared" ref="M70:M133" si="15">I70+L70</f>
        <v>0</v>
      </c>
      <c r="N70" s="304">
        <f t="shared" ref="N70:N153" si="16">H70-K70</f>
        <v>48</v>
      </c>
      <c r="O70" s="126"/>
      <c r="P70" s="67">
        <f t="shared" ref="P70:P133" si="17">N70*O70</f>
        <v>0</v>
      </c>
      <c r="Q70" s="68">
        <f t="shared" ref="Q70:Q133" si="18">J70-O70</f>
        <v>0</v>
      </c>
      <c r="R70" s="68">
        <f t="shared" ref="R70:R133" si="19">N70*Q70</f>
        <v>0</v>
      </c>
      <c r="S70" s="118"/>
      <c r="T70" s="81">
        <f t="shared" si="12"/>
        <v>0</v>
      </c>
      <c r="U70" s="118"/>
      <c r="V70" s="88">
        <f t="shared" ref="V70:V153" si="20">H70*U70</f>
        <v>0</v>
      </c>
      <c r="Z70" s="45">
        <f t="shared" ref="Z70:Z133" si="21">K70*O70</f>
        <v>0</v>
      </c>
      <c r="AA70" s="45">
        <f t="shared" ref="AA70:AA133" si="22">K70*Q70</f>
        <v>0</v>
      </c>
    </row>
    <row r="71" spans="1:27" x14ac:dyDescent="0.25">
      <c r="A71" s="8" t="s">
        <v>11</v>
      </c>
      <c r="B71" s="222" t="s">
        <v>239</v>
      </c>
      <c r="C71" s="223">
        <v>8</v>
      </c>
      <c r="D71" s="224" t="s">
        <v>17</v>
      </c>
      <c r="E71" s="50"/>
      <c r="F71" s="51"/>
      <c r="G71" s="51"/>
      <c r="H71" s="317">
        <v>129</v>
      </c>
      <c r="I71" s="317">
        <f t="shared" si="13"/>
        <v>0</v>
      </c>
      <c r="J71" s="51"/>
      <c r="K71" s="328">
        <v>14</v>
      </c>
      <c r="L71" s="328">
        <f t="shared" si="14"/>
        <v>0</v>
      </c>
      <c r="M71" s="329">
        <f t="shared" si="15"/>
        <v>0</v>
      </c>
      <c r="N71" s="304">
        <f t="shared" si="16"/>
        <v>115</v>
      </c>
      <c r="O71" s="126"/>
      <c r="P71" s="67">
        <f t="shared" si="17"/>
        <v>0</v>
      </c>
      <c r="Q71" s="235">
        <f t="shared" si="18"/>
        <v>0</v>
      </c>
      <c r="R71" s="235">
        <f t="shared" si="19"/>
        <v>0</v>
      </c>
      <c r="S71" s="118"/>
      <c r="T71" s="235">
        <f t="shared" si="12"/>
        <v>0</v>
      </c>
      <c r="U71" s="118"/>
      <c r="V71" s="241">
        <f t="shared" si="20"/>
        <v>0</v>
      </c>
      <c r="Z71" s="45">
        <f t="shared" si="21"/>
        <v>0</v>
      </c>
      <c r="AA71" s="45">
        <f t="shared" si="22"/>
        <v>0</v>
      </c>
    </row>
    <row r="72" spans="1:27" x14ac:dyDescent="0.25">
      <c r="A72" s="8" t="s">
        <v>11</v>
      </c>
      <c r="B72" s="222" t="s">
        <v>240</v>
      </c>
      <c r="C72" s="223">
        <v>8</v>
      </c>
      <c r="D72" s="224" t="s">
        <v>17</v>
      </c>
      <c r="E72" s="50"/>
      <c r="F72" s="51"/>
      <c r="G72" s="51"/>
      <c r="H72" s="317">
        <v>73</v>
      </c>
      <c r="I72" s="317">
        <f t="shared" si="13"/>
        <v>0</v>
      </c>
      <c r="J72" s="51"/>
      <c r="K72" s="328">
        <v>8</v>
      </c>
      <c r="L72" s="328">
        <f t="shared" si="14"/>
        <v>0</v>
      </c>
      <c r="M72" s="329">
        <f t="shared" si="15"/>
        <v>0</v>
      </c>
      <c r="N72" s="304">
        <f t="shared" si="16"/>
        <v>65</v>
      </c>
      <c r="O72" s="126"/>
      <c r="P72" s="67">
        <f t="shared" si="17"/>
        <v>0</v>
      </c>
      <c r="Q72" s="235">
        <f t="shared" si="18"/>
        <v>0</v>
      </c>
      <c r="R72" s="235">
        <f t="shared" si="19"/>
        <v>0</v>
      </c>
      <c r="S72" s="118"/>
      <c r="T72" s="235">
        <f t="shared" si="12"/>
        <v>0</v>
      </c>
      <c r="U72" s="118"/>
      <c r="V72" s="241">
        <f t="shared" si="20"/>
        <v>0</v>
      </c>
      <c r="Z72" s="45">
        <f t="shared" si="21"/>
        <v>0</v>
      </c>
      <c r="AA72" s="45">
        <f t="shared" si="22"/>
        <v>0</v>
      </c>
    </row>
    <row r="73" spans="1:27" x14ac:dyDescent="0.25">
      <c r="A73" s="8" t="s">
        <v>11</v>
      </c>
      <c r="B73" s="222" t="s">
        <v>241</v>
      </c>
      <c r="C73" s="223">
        <v>8</v>
      </c>
      <c r="D73" s="224" t="s">
        <v>17</v>
      </c>
      <c r="E73" s="50"/>
      <c r="F73" s="51"/>
      <c r="G73" s="51"/>
      <c r="H73" s="317">
        <v>147</v>
      </c>
      <c r="I73" s="317">
        <f t="shared" si="13"/>
        <v>0</v>
      </c>
      <c r="J73" s="51"/>
      <c r="K73" s="328">
        <v>16</v>
      </c>
      <c r="L73" s="328">
        <f t="shared" si="14"/>
        <v>0</v>
      </c>
      <c r="M73" s="329">
        <f t="shared" si="15"/>
        <v>0</v>
      </c>
      <c r="N73" s="304">
        <f t="shared" si="16"/>
        <v>131</v>
      </c>
      <c r="O73" s="126"/>
      <c r="P73" s="67">
        <f t="shared" si="17"/>
        <v>0</v>
      </c>
      <c r="Q73" s="235">
        <f t="shared" si="18"/>
        <v>0</v>
      </c>
      <c r="R73" s="235">
        <f t="shared" si="19"/>
        <v>0</v>
      </c>
      <c r="S73" s="118"/>
      <c r="T73" s="235">
        <f t="shared" si="12"/>
        <v>0</v>
      </c>
      <c r="U73" s="118"/>
      <c r="V73" s="241">
        <f t="shared" si="20"/>
        <v>0</v>
      </c>
      <c r="Z73" s="45">
        <f t="shared" si="21"/>
        <v>0</v>
      </c>
      <c r="AA73" s="45">
        <f t="shared" si="22"/>
        <v>0</v>
      </c>
    </row>
    <row r="74" spans="1:27" x14ac:dyDescent="0.25">
      <c r="A74" s="8" t="s">
        <v>11</v>
      </c>
      <c r="B74" s="222" t="s">
        <v>244</v>
      </c>
      <c r="C74" s="223">
        <v>8</v>
      </c>
      <c r="D74" s="224" t="s">
        <v>17</v>
      </c>
      <c r="E74" s="50"/>
      <c r="F74" s="51"/>
      <c r="G74" s="51"/>
      <c r="H74" s="317">
        <v>147</v>
      </c>
      <c r="I74" s="317">
        <f t="shared" si="13"/>
        <v>0</v>
      </c>
      <c r="J74" s="51"/>
      <c r="K74" s="328">
        <v>16</v>
      </c>
      <c r="L74" s="328">
        <f t="shared" si="14"/>
        <v>0</v>
      </c>
      <c r="M74" s="329">
        <f t="shared" si="15"/>
        <v>0</v>
      </c>
      <c r="N74" s="304">
        <f t="shared" si="16"/>
        <v>131</v>
      </c>
      <c r="O74" s="126"/>
      <c r="P74" s="67">
        <f t="shared" si="17"/>
        <v>0</v>
      </c>
      <c r="Q74" s="235">
        <f t="shared" si="18"/>
        <v>0</v>
      </c>
      <c r="R74" s="235">
        <f t="shared" si="19"/>
        <v>0</v>
      </c>
      <c r="S74" s="118"/>
      <c r="T74" s="235">
        <f t="shared" si="12"/>
        <v>0</v>
      </c>
      <c r="U74" s="118"/>
      <c r="V74" s="241">
        <f t="shared" si="20"/>
        <v>0</v>
      </c>
      <c r="Z74" s="45">
        <f t="shared" si="21"/>
        <v>0</v>
      </c>
      <c r="AA74" s="45">
        <f t="shared" si="22"/>
        <v>0</v>
      </c>
    </row>
    <row r="75" spans="1:27" x14ac:dyDescent="0.25">
      <c r="A75" s="8" t="s">
        <v>11</v>
      </c>
      <c r="B75" s="222" t="s">
        <v>245</v>
      </c>
      <c r="C75" s="223">
        <v>8</v>
      </c>
      <c r="D75" s="224" t="s">
        <v>17</v>
      </c>
      <c r="E75" s="50"/>
      <c r="F75" s="51"/>
      <c r="G75" s="51"/>
      <c r="H75" s="317">
        <v>49</v>
      </c>
      <c r="I75" s="317">
        <f t="shared" si="13"/>
        <v>0</v>
      </c>
      <c r="J75" s="51"/>
      <c r="K75" s="328">
        <v>5</v>
      </c>
      <c r="L75" s="328">
        <f t="shared" si="14"/>
        <v>0</v>
      </c>
      <c r="M75" s="329">
        <f t="shared" si="15"/>
        <v>0</v>
      </c>
      <c r="N75" s="304">
        <f t="shared" si="16"/>
        <v>44</v>
      </c>
      <c r="O75" s="126"/>
      <c r="P75" s="67">
        <f t="shared" si="17"/>
        <v>0</v>
      </c>
      <c r="Q75" s="235">
        <f t="shared" si="18"/>
        <v>0</v>
      </c>
      <c r="R75" s="235">
        <f t="shared" si="19"/>
        <v>0</v>
      </c>
      <c r="S75" s="118"/>
      <c r="T75" s="235">
        <f t="shared" si="12"/>
        <v>0</v>
      </c>
      <c r="U75" s="118"/>
      <c r="V75" s="241">
        <f t="shared" si="20"/>
        <v>0</v>
      </c>
      <c r="Z75" s="45">
        <f t="shared" si="21"/>
        <v>0</v>
      </c>
      <c r="AA75" s="45">
        <f t="shared" si="22"/>
        <v>0</v>
      </c>
    </row>
    <row r="76" spans="1:27" x14ac:dyDescent="0.25">
      <c r="A76" s="8" t="s">
        <v>11</v>
      </c>
      <c r="B76" s="14" t="s">
        <v>231</v>
      </c>
      <c r="C76" s="211">
        <v>9</v>
      </c>
      <c r="D76" s="18" t="s">
        <v>170</v>
      </c>
      <c r="E76" s="50"/>
      <c r="F76" s="51"/>
      <c r="G76" s="51"/>
      <c r="H76" s="317">
        <v>104</v>
      </c>
      <c r="I76" s="317">
        <f t="shared" si="13"/>
        <v>0</v>
      </c>
      <c r="J76" s="51"/>
      <c r="K76" s="328">
        <v>11</v>
      </c>
      <c r="L76" s="328">
        <f t="shared" si="14"/>
        <v>0</v>
      </c>
      <c r="M76" s="329">
        <f t="shared" si="15"/>
        <v>0</v>
      </c>
      <c r="N76" s="304">
        <f t="shared" si="16"/>
        <v>93</v>
      </c>
      <c r="O76" s="126"/>
      <c r="P76" s="67">
        <f t="shared" si="17"/>
        <v>0</v>
      </c>
      <c r="Q76" s="68">
        <f t="shared" si="18"/>
        <v>0</v>
      </c>
      <c r="R76" s="68">
        <f t="shared" si="19"/>
        <v>0</v>
      </c>
      <c r="S76" s="118"/>
      <c r="T76" s="81">
        <f t="shared" si="12"/>
        <v>0</v>
      </c>
      <c r="U76" s="118"/>
      <c r="V76" s="88">
        <f t="shared" si="20"/>
        <v>0</v>
      </c>
      <c r="Z76" s="45">
        <f t="shared" si="21"/>
        <v>0</v>
      </c>
      <c r="AA76" s="45">
        <f t="shared" si="22"/>
        <v>0</v>
      </c>
    </row>
    <row r="77" spans="1:27" x14ac:dyDescent="0.25">
      <c r="A77" s="8" t="s">
        <v>11</v>
      </c>
      <c r="B77" s="14" t="s">
        <v>232</v>
      </c>
      <c r="C77" s="211">
        <v>9</v>
      </c>
      <c r="D77" s="18" t="s">
        <v>170</v>
      </c>
      <c r="E77" s="50"/>
      <c r="F77" s="51"/>
      <c r="G77" s="51"/>
      <c r="H77" s="317">
        <v>55</v>
      </c>
      <c r="I77" s="317">
        <f t="shared" si="13"/>
        <v>0</v>
      </c>
      <c r="J77" s="51"/>
      <c r="K77" s="328">
        <v>6</v>
      </c>
      <c r="L77" s="328">
        <f t="shared" si="14"/>
        <v>0</v>
      </c>
      <c r="M77" s="329">
        <f t="shared" si="15"/>
        <v>0</v>
      </c>
      <c r="N77" s="304">
        <f t="shared" si="16"/>
        <v>49</v>
      </c>
      <c r="O77" s="126"/>
      <c r="P77" s="67">
        <f t="shared" si="17"/>
        <v>0</v>
      </c>
      <c r="Q77" s="68">
        <f t="shared" si="18"/>
        <v>0</v>
      </c>
      <c r="R77" s="68">
        <f t="shared" si="19"/>
        <v>0</v>
      </c>
      <c r="S77" s="118"/>
      <c r="T77" s="81">
        <f t="shared" si="12"/>
        <v>0</v>
      </c>
      <c r="U77" s="118"/>
      <c r="V77" s="88">
        <f t="shared" si="20"/>
        <v>0</v>
      </c>
      <c r="Z77" s="45">
        <f t="shared" si="21"/>
        <v>0</v>
      </c>
      <c r="AA77" s="45">
        <f t="shared" si="22"/>
        <v>0</v>
      </c>
    </row>
    <row r="78" spans="1:27" x14ac:dyDescent="0.25">
      <c r="A78" s="8" t="s">
        <v>11</v>
      </c>
      <c r="B78" s="14" t="s">
        <v>233</v>
      </c>
      <c r="C78" s="211">
        <v>9</v>
      </c>
      <c r="D78" s="18" t="s">
        <v>170</v>
      </c>
      <c r="E78" s="50"/>
      <c r="F78" s="51"/>
      <c r="G78" s="51"/>
      <c r="H78" s="317">
        <v>122</v>
      </c>
      <c r="I78" s="317">
        <f t="shared" si="13"/>
        <v>0</v>
      </c>
      <c r="J78" s="51"/>
      <c r="K78" s="328">
        <v>13</v>
      </c>
      <c r="L78" s="328">
        <f t="shared" si="14"/>
        <v>0</v>
      </c>
      <c r="M78" s="329">
        <f t="shared" si="15"/>
        <v>0</v>
      </c>
      <c r="N78" s="304">
        <f t="shared" si="16"/>
        <v>109</v>
      </c>
      <c r="O78" s="126"/>
      <c r="P78" s="67">
        <f t="shared" si="17"/>
        <v>0</v>
      </c>
      <c r="Q78" s="68">
        <f t="shared" si="18"/>
        <v>0</v>
      </c>
      <c r="R78" s="68">
        <f t="shared" si="19"/>
        <v>0</v>
      </c>
      <c r="S78" s="118"/>
      <c r="T78" s="81">
        <f t="shared" si="12"/>
        <v>0</v>
      </c>
      <c r="U78" s="118"/>
      <c r="V78" s="88">
        <f t="shared" si="20"/>
        <v>0</v>
      </c>
      <c r="Z78" s="45">
        <f t="shared" si="21"/>
        <v>0</v>
      </c>
      <c r="AA78" s="45">
        <f t="shared" si="22"/>
        <v>0</v>
      </c>
    </row>
    <row r="79" spans="1:27" x14ac:dyDescent="0.25">
      <c r="A79" s="8" t="s">
        <v>11</v>
      </c>
      <c r="B79" s="14" t="s">
        <v>234</v>
      </c>
      <c r="C79" s="211">
        <v>9</v>
      </c>
      <c r="D79" s="18" t="s">
        <v>170</v>
      </c>
      <c r="E79" s="50"/>
      <c r="F79" s="51"/>
      <c r="G79" s="51"/>
      <c r="H79" s="317">
        <v>34</v>
      </c>
      <c r="I79" s="317">
        <f t="shared" si="13"/>
        <v>0</v>
      </c>
      <c r="J79" s="51"/>
      <c r="K79" s="328">
        <v>4</v>
      </c>
      <c r="L79" s="328">
        <f t="shared" si="14"/>
        <v>0</v>
      </c>
      <c r="M79" s="329">
        <f t="shared" si="15"/>
        <v>0</v>
      </c>
      <c r="N79" s="304">
        <f t="shared" si="16"/>
        <v>30</v>
      </c>
      <c r="O79" s="126"/>
      <c r="P79" s="67">
        <f t="shared" si="17"/>
        <v>0</v>
      </c>
      <c r="Q79" s="68">
        <f t="shared" si="18"/>
        <v>0</v>
      </c>
      <c r="R79" s="68">
        <f t="shared" si="19"/>
        <v>0</v>
      </c>
      <c r="S79" s="118"/>
      <c r="T79" s="81">
        <f t="shared" si="12"/>
        <v>0</v>
      </c>
      <c r="U79" s="118"/>
      <c r="V79" s="88">
        <f t="shared" si="20"/>
        <v>0</v>
      </c>
      <c r="Z79" s="45">
        <f t="shared" si="21"/>
        <v>0</v>
      </c>
      <c r="AA79" s="45">
        <f t="shared" si="22"/>
        <v>0</v>
      </c>
    </row>
    <row r="80" spans="1:27" x14ac:dyDescent="0.25">
      <c r="A80" s="8" t="s">
        <v>11</v>
      </c>
      <c r="B80" s="14" t="s">
        <v>235</v>
      </c>
      <c r="C80" s="211">
        <v>9</v>
      </c>
      <c r="D80" s="18" t="s">
        <v>170</v>
      </c>
      <c r="E80" s="50"/>
      <c r="F80" s="51"/>
      <c r="G80" s="51"/>
      <c r="H80" s="317">
        <v>128</v>
      </c>
      <c r="I80" s="317">
        <f t="shared" si="13"/>
        <v>0</v>
      </c>
      <c r="J80" s="51"/>
      <c r="K80" s="328">
        <v>14</v>
      </c>
      <c r="L80" s="328">
        <f t="shared" si="14"/>
        <v>0</v>
      </c>
      <c r="M80" s="329">
        <f t="shared" si="15"/>
        <v>0</v>
      </c>
      <c r="N80" s="304">
        <f t="shared" si="16"/>
        <v>114</v>
      </c>
      <c r="O80" s="126"/>
      <c r="P80" s="67">
        <f t="shared" si="17"/>
        <v>0</v>
      </c>
      <c r="Q80" s="68">
        <f t="shared" si="18"/>
        <v>0</v>
      </c>
      <c r="R80" s="68">
        <f t="shared" si="19"/>
        <v>0</v>
      </c>
      <c r="S80" s="118"/>
      <c r="T80" s="81">
        <f t="shared" si="12"/>
        <v>0</v>
      </c>
      <c r="U80" s="118"/>
      <c r="V80" s="88">
        <f t="shared" si="20"/>
        <v>0</v>
      </c>
      <c r="Z80" s="45">
        <f t="shared" si="21"/>
        <v>0</v>
      </c>
      <c r="AA80" s="45">
        <f t="shared" si="22"/>
        <v>0</v>
      </c>
    </row>
    <row r="81" spans="1:27" x14ac:dyDescent="0.25">
      <c r="A81" s="8" t="s">
        <v>11</v>
      </c>
      <c r="B81" s="14" t="s">
        <v>236</v>
      </c>
      <c r="C81" s="211">
        <v>9</v>
      </c>
      <c r="D81" s="18" t="s">
        <v>170</v>
      </c>
      <c r="E81" s="50"/>
      <c r="F81" s="51"/>
      <c r="G81" s="51"/>
      <c r="H81" s="317">
        <v>45</v>
      </c>
      <c r="I81" s="317">
        <f t="shared" si="13"/>
        <v>0</v>
      </c>
      <c r="J81" s="51"/>
      <c r="K81" s="328">
        <v>5</v>
      </c>
      <c r="L81" s="328">
        <f t="shared" si="14"/>
        <v>0</v>
      </c>
      <c r="M81" s="329">
        <f t="shared" si="15"/>
        <v>0</v>
      </c>
      <c r="N81" s="304">
        <f t="shared" si="16"/>
        <v>40</v>
      </c>
      <c r="O81" s="126"/>
      <c r="P81" s="67">
        <f t="shared" si="17"/>
        <v>0</v>
      </c>
      <c r="Q81" s="68">
        <f t="shared" si="18"/>
        <v>0</v>
      </c>
      <c r="R81" s="68">
        <f t="shared" si="19"/>
        <v>0</v>
      </c>
      <c r="S81" s="118"/>
      <c r="T81" s="81">
        <f t="shared" si="12"/>
        <v>0</v>
      </c>
      <c r="U81" s="118"/>
      <c r="V81" s="88">
        <f t="shared" si="20"/>
        <v>0</v>
      </c>
      <c r="Z81" s="45">
        <f t="shared" si="21"/>
        <v>0</v>
      </c>
      <c r="AA81" s="45">
        <f t="shared" si="22"/>
        <v>0</v>
      </c>
    </row>
    <row r="82" spans="1:27" x14ac:dyDescent="0.25">
      <c r="A82" s="8" t="s">
        <v>11</v>
      </c>
      <c r="B82" s="14" t="s">
        <v>237</v>
      </c>
      <c r="C82" s="211">
        <v>9</v>
      </c>
      <c r="D82" s="18" t="s">
        <v>170</v>
      </c>
      <c r="E82" s="50"/>
      <c r="F82" s="51"/>
      <c r="G82" s="51"/>
      <c r="H82" s="317">
        <v>120</v>
      </c>
      <c r="I82" s="317">
        <f t="shared" si="13"/>
        <v>0</v>
      </c>
      <c r="J82" s="51"/>
      <c r="K82" s="328">
        <v>13</v>
      </c>
      <c r="L82" s="328">
        <f t="shared" si="14"/>
        <v>0</v>
      </c>
      <c r="M82" s="329">
        <f t="shared" si="15"/>
        <v>0</v>
      </c>
      <c r="N82" s="304">
        <f t="shared" si="16"/>
        <v>107</v>
      </c>
      <c r="O82" s="126"/>
      <c r="P82" s="67">
        <f t="shared" si="17"/>
        <v>0</v>
      </c>
      <c r="Q82" s="68">
        <f t="shared" si="18"/>
        <v>0</v>
      </c>
      <c r="R82" s="68">
        <f t="shared" si="19"/>
        <v>0</v>
      </c>
      <c r="S82" s="118"/>
      <c r="T82" s="81">
        <f t="shared" si="12"/>
        <v>0</v>
      </c>
      <c r="U82" s="118"/>
      <c r="V82" s="88">
        <f t="shared" si="20"/>
        <v>0</v>
      </c>
      <c r="Z82" s="45">
        <f t="shared" si="21"/>
        <v>0</v>
      </c>
      <c r="AA82" s="45">
        <f t="shared" si="22"/>
        <v>0</v>
      </c>
    </row>
    <row r="83" spans="1:27" x14ac:dyDescent="0.25">
      <c r="A83" s="8" t="s">
        <v>11</v>
      </c>
      <c r="B83" s="14" t="s">
        <v>238</v>
      </c>
      <c r="C83" s="211">
        <v>9</v>
      </c>
      <c r="D83" s="18" t="s">
        <v>170</v>
      </c>
      <c r="E83" s="50"/>
      <c r="F83" s="51"/>
      <c r="G83" s="51"/>
      <c r="H83" s="317">
        <v>47</v>
      </c>
      <c r="I83" s="317">
        <f t="shared" si="13"/>
        <v>0</v>
      </c>
      <c r="J83" s="51"/>
      <c r="K83" s="328">
        <v>5</v>
      </c>
      <c r="L83" s="328">
        <f t="shared" si="14"/>
        <v>0</v>
      </c>
      <c r="M83" s="329">
        <f t="shared" si="15"/>
        <v>0</v>
      </c>
      <c r="N83" s="304">
        <f t="shared" si="16"/>
        <v>42</v>
      </c>
      <c r="O83" s="126"/>
      <c r="P83" s="67">
        <f t="shared" si="17"/>
        <v>0</v>
      </c>
      <c r="Q83" s="68">
        <f t="shared" si="18"/>
        <v>0</v>
      </c>
      <c r="R83" s="68">
        <f t="shared" si="19"/>
        <v>0</v>
      </c>
      <c r="S83" s="118"/>
      <c r="T83" s="81">
        <f t="shared" si="12"/>
        <v>0</v>
      </c>
      <c r="U83" s="118"/>
      <c r="V83" s="88">
        <f t="shared" si="20"/>
        <v>0</v>
      </c>
      <c r="Z83" s="45">
        <f t="shared" si="21"/>
        <v>0</v>
      </c>
      <c r="AA83" s="45">
        <f t="shared" si="22"/>
        <v>0</v>
      </c>
    </row>
    <row r="84" spans="1:27" x14ac:dyDescent="0.25">
      <c r="A84" s="8" t="s">
        <v>11</v>
      </c>
      <c r="B84" s="222" t="s">
        <v>239</v>
      </c>
      <c r="C84" s="223">
        <v>9</v>
      </c>
      <c r="D84" s="224" t="s">
        <v>170</v>
      </c>
      <c r="E84" s="50"/>
      <c r="F84" s="51"/>
      <c r="G84" s="51"/>
      <c r="H84" s="317">
        <v>144</v>
      </c>
      <c r="I84" s="317">
        <f t="shared" si="13"/>
        <v>0</v>
      </c>
      <c r="J84" s="51"/>
      <c r="K84" s="328">
        <v>16</v>
      </c>
      <c r="L84" s="328">
        <f t="shared" si="14"/>
        <v>0</v>
      </c>
      <c r="M84" s="329">
        <f t="shared" si="15"/>
        <v>0</v>
      </c>
      <c r="N84" s="304">
        <f t="shared" si="16"/>
        <v>128</v>
      </c>
      <c r="O84" s="126"/>
      <c r="P84" s="67">
        <f t="shared" si="17"/>
        <v>0</v>
      </c>
      <c r="Q84" s="235">
        <f t="shared" si="18"/>
        <v>0</v>
      </c>
      <c r="R84" s="235">
        <f t="shared" si="19"/>
        <v>0</v>
      </c>
      <c r="S84" s="118"/>
      <c r="T84" s="235">
        <f t="shared" si="12"/>
        <v>0</v>
      </c>
      <c r="U84" s="118"/>
      <c r="V84" s="241">
        <f t="shared" si="20"/>
        <v>0</v>
      </c>
      <c r="Z84" s="45">
        <f t="shared" si="21"/>
        <v>0</v>
      </c>
      <c r="AA84" s="45">
        <f t="shared" si="22"/>
        <v>0</v>
      </c>
    </row>
    <row r="85" spans="1:27" x14ac:dyDescent="0.25">
      <c r="A85" s="8" t="s">
        <v>11</v>
      </c>
      <c r="B85" s="222" t="s">
        <v>240</v>
      </c>
      <c r="C85" s="223">
        <v>9</v>
      </c>
      <c r="D85" s="224" t="s">
        <v>170</v>
      </c>
      <c r="E85" s="50"/>
      <c r="F85" s="51"/>
      <c r="G85" s="51"/>
      <c r="H85" s="317">
        <v>77</v>
      </c>
      <c r="I85" s="317">
        <f t="shared" si="13"/>
        <v>0</v>
      </c>
      <c r="J85" s="51"/>
      <c r="K85" s="328">
        <v>9</v>
      </c>
      <c r="L85" s="328">
        <f t="shared" si="14"/>
        <v>0</v>
      </c>
      <c r="M85" s="329">
        <f t="shared" si="15"/>
        <v>0</v>
      </c>
      <c r="N85" s="304">
        <f t="shared" si="16"/>
        <v>68</v>
      </c>
      <c r="O85" s="126"/>
      <c r="P85" s="67">
        <f t="shared" si="17"/>
        <v>0</v>
      </c>
      <c r="Q85" s="235">
        <f t="shared" si="18"/>
        <v>0</v>
      </c>
      <c r="R85" s="235">
        <f t="shared" si="19"/>
        <v>0</v>
      </c>
      <c r="S85" s="118"/>
      <c r="T85" s="235">
        <f t="shared" si="12"/>
        <v>0</v>
      </c>
      <c r="U85" s="118"/>
      <c r="V85" s="241">
        <f t="shared" si="20"/>
        <v>0</v>
      </c>
      <c r="Z85" s="45">
        <f t="shared" si="21"/>
        <v>0</v>
      </c>
      <c r="AA85" s="45">
        <f t="shared" si="22"/>
        <v>0</v>
      </c>
    </row>
    <row r="86" spans="1:27" x14ac:dyDescent="0.25">
      <c r="A86" s="8" t="s">
        <v>11</v>
      </c>
      <c r="B86" s="222" t="s">
        <v>241</v>
      </c>
      <c r="C86" s="223">
        <v>9</v>
      </c>
      <c r="D86" s="224" t="s">
        <v>170</v>
      </c>
      <c r="E86" s="50"/>
      <c r="F86" s="51"/>
      <c r="G86" s="51"/>
      <c r="H86" s="317">
        <v>128</v>
      </c>
      <c r="I86" s="317">
        <f t="shared" si="13"/>
        <v>0</v>
      </c>
      <c r="J86" s="51"/>
      <c r="K86" s="328">
        <v>14</v>
      </c>
      <c r="L86" s="328">
        <f t="shared" si="14"/>
        <v>0</v>
      </c>
      <c r="M86" s="329">
        <f t="shared" si="15"/>
        <v>0</v>
      </c>
      <c r="N86" s="304">
        <f t="shared" si="16"/>
        <v>114</v>
      </c>
      <c r="O86" s="126"/>
      <c r="P86" s="67">
        <f t="shared" si="17"/>
        <v>0</v>
      </c>
      <c r="Q86" s="235">
        <f t="shared" si="18"/>
        <v>0</v>
      </c>
      <c r="R86" s="235">
        <f t="shared" si="19"/>
        <v>0</v>
      </c>
      <c r="S86" s="118"/>
      <c r="T86" s="235">
        <f t="shared" si="12"/>
        <v>0</v>
      </c>
      <c r="U86" s="118"/>
      <c r="V86" s="241">
        <f t="shared" si="20"/>
        <v>0</v>
      </c>
      <c r="Z86" s="45">
        <f t="shared" si="21"/>
        <v>0</v>
      </c>
      <c r="AA86" s="45">
        <f t="shared" si="22"/>
        <v>0</v>
      </c>
    </row>
    <row r="87" spans="1:27" x14ac:dyDescent="0.25">
      <c r="A87" s="8" t="s">
        <v>11</v>
      </c>
      <c r="B87" s="222" t="s">
        <v>244</v>
      </c>
      <c r="C87" s="223">
        <v>9</v>
      </c>
      <c r="D87" s="224" t="s">
        <v>170</v>
      </c>
      <c r="E87" s="50"/>
      <c r="F87" s="51"/>
      <c r="G87" s="51"/>
      <c r="H87" s="317">
        <v>166</v>
      </c>
      <c r="I87" s="317">
        <f t="shared" si="13"/>
        <v>0</v>
      </c>
      <c r="J87" s="51"/>
      <c r="K87" s="328">
        <v>18</v>
      </c>
      <c r="L87" s="328">
        <f t="shared" si="14"/>
        <v>0</v>
      </c>
      <c r="M87" s="329">
        <f t="shared" si="15"/>
        <v>0</v>
      </c>
      <c r="N87" s="304">
        <f t="shared" si="16"/>
        <v>148</v>
      </c>
      <c r="O87" s="126"/>
      <c r="P87" s="67">
        <f t="shared" si="17"/>
        <v>0</v>
      </c>
      <c r="Q87" s="235">
        <f t="shared" si="18"/>
        <v>0</v>
      </c>
      <c r="R87" s="235">
        <f t="shared" si="19"/>
        <v>0</v>
      </c>
      <c r="S87" s="118"/>
      <c r="T87" s="235">
        <f t="shared" si="12"/>
        <v>0</v>
      </c>
      <c r="U87" s="118"/>
      <c r="V87" s="241">
        <f t="shared" si="20"/>
        <v>0</v>
      </c>
      <c r="Z87" s="45">
        <f t="shared" si="21"/>
        <v>0</v>
      </c>
      <c r="AA87" s="45">
        <f t="shared" si="22"/>
        <v>0</v>
      </c>
    </row>
    <row r="88" spans="1:27" x14ac:dyDescent="0.25">
      <c r="A88" s="8" t="s">
        <v>11</v>
      </c>
      <c r="B88" s="222" t="s">
        <v>245</v>
      </c>
      <c r="C88" s="223">
        <v>9</v>
      </c>
      <c r="D88" s="224" t="s">
        <v>170</v>
      </c>
      <c r="E88" s="50"/>
      <c r="F88" s="51"/>
      <c r="G88" s="51"/>
      <c r="H88" s="317">
        <v>34</v>
      </c>
      <c r="I88" s="317">
        <f t="shared" si="13"/>
        <v>0</v>
      </c>
      <c r="J88" s="51"/>
      <c r="K88" s="328">
        <v>4</v>
      </c>
      <c r="L88" s="328">
        <f t="shared" si="14"/>
        <v>0</v>
      </c>
      <c r="M88" s="329">
        <f t="shared" si="15"/>
        <v>0</v>
      </c>
      <c r="N88" s="304">
        <f t="shared" si="16"/>
        <v>30</v>
      </c>
      <c r="O88" s="126"/>
      <c r="P88" s="67">
        <f t="shared" si="17"/>
        <v>0</v>
      </c>
      <c r="Q88" s="235">
        <f t="shared" si="18"/>
        <v>0</v>
      </c>
      <c r="R88" s="235">
        <f t="shared" si="19"/>
        <v>0</v>
      </c>
      <c r="S88" s="118"/>
      <c r="T88" s="235">
        <f t="shared" si="12"/>
        <v>0</v>
      </c>
      <c r="U88" s="118"/>
      <c r="V88" s="241">
        <f t="shared" si="20"/>
        <v>0</v>
      </c>
      <c r="Z88" s="45">
        <f t="shared" si="21"/>
        <v>0</v>
      </c>
      <c r="AA88" s="45">
        <f t="shared" si="22"/>
        <v>0</v>
      </c>
    </row>
    <row r="89" spans="1:27" x14ac:dyDescent="0.25">
      <c r="A89" s="2" t="s">
        <v>12</v>
      </c>
      <c r="B89" s="5" t="s">
        <v>231</v>
      </c>
      <c r="C89" s="212">
        <v>7</v>
      </c>
      <c r="D89" s="19" t="s">
        <v>16</v>
      </c>
      <c r="E89" s="52"/>
      <c r="F89" s="53"/>
      <c r="G89" s="53"/>
      <c r="H89" s="318">
        <v>118</v>
      </c>
      <c r="I89" s="318">
        <f t="shared" si="13"/>
        <v>0</v>
      </c>
      <c r="J89" s="53"/>
      <c r="K89" s="330">
        <v>13</v>
      </c>
      <c r="L89" s="330">
        <f t="shared" si="14"/>
        <v>0</v>
      </c>
      <c r="M89" s="331">
        <f t="shared" si="15"/>
        <v>0</v>
      </c>
      <c r="N89" s="305">
        <f t="shared" si="16"/>
        <v>105</v>
      </c>
      <c r="O89" s="127"/>
      <c r="P89" s="69">
        <f t="shared" si="17"/>
        <v>0</v>
      </c>
      <c r="Q89" s="70">
        <f t="shared" si="18"/>
        <v>0</v>
      </c>
      <c r="R89" s="70">
        <f t="shared" si="19"/>
        <v>0</v>
      </c>
      <c r="S89" s="119"/>
      <c r="T89" s="82">
        <f t="shared" si="12"/>
        <v>0</v>
      </c>
      <c r="U89" s="119"/>
      <c r="V89" s="89">
        <f t="shared" si="20"/>
        <v>0</v>
      </c>
      <c r="Z89" s="45">
        <f t="shared" si="21"/>
        <v>0</v>
      </c>
      <c r="AA89" s="45">
        <f t="shared" si="22"/>
        <v>0</v>
      </c>
    </row>
    <row r="90" spans="1:27" x14ac:dyDescent="0.25">
      <c r="A90" s="2" t="s">
        <v>12</v>
      </c>
      <c r="B90" s="5" t="s">
        <v>232</v>
      </c>
      <c r="C90" s="212">
        <v>7</v>
      </c>
      <c r="D90" s="19" t="s">
        <v>16</v>
      </c>
      <c r="E90" s="52"/>
      <c r="F90" s="53"/>
      <c r="G90" s="53"/>
      <c r="H90" s="318">
        <v>68</v>
      </c>
      <c r="I90" s="318">
        <f t="shared" si="13"/>
        <v>0</v>
      </c>
      <c r="J90" s="53"/>
      <c r="K90" s="330">
        <v>7</v>
      </c>
      <c r="L90" s="330">
        <f t="shared" si="14"/>
        <v>0</v>
      </c>
      <c r="M90" s="331">
        <f t="shared" si="15"/>
        <v>0</v>
      </c>
      <c r="N90" s="305">
        <f t="shared" si="16"/>
        <v>61</v>
      </c>
      <c r="O90" s="127"/>
      <c r="P90" s="69">
        <f t="shared" si="17"/>
        <v>0</v>
      </c>
      <c r="Q90" s="70">
        <f t="shared" si="18"/>
        <v>0</v>
      </c>
      <c r="R90" s="70">
        <f t="shared" si="19"/>
        <v>0</v>
      </c>
      <c r="S90" s="119"/>
      <c r="T90" s="82">
        <f t="shared" si="12"/>
        <v>0</v>
      </c>
      <c r="U90" s="119"/>
      <c r="V90" s="89">
        <f t="shared" si="20"/>
        <v>0</v>
      </c>
      <c r="Z90" s="45">
        <f t="shared" si="21"/>
        <v>0</v>
      </c>
      <c r="AA90" s="45">
        <f t="shared" si="22"/>
        <v>0</v>
      </c>
    </row>
    <row r="91" spans="1:27" x14ac:dyDescent="0.25">
      <c r="A91" s="2" t="s">
        <v>12</v>
      </c>
      <c r="B91" s="5" t="s">
        <v>233</v>
      </c>
      <c r="C91" s="212">
        <v>7</v>
      </c>
      <c r="D91" s="19" t="s">
        <v>16</v>
      </c>
      <c r="E91" s="52"/>
      <c r="F91" s="53"/>
      <c r="G91" s="53"/>
      <c r="H91" s="318">
        <v>176</v>
      </c>
      <c r="I91" s="318">
        <f t="shared" si="13"/>
        <v>0</v>
      </c>
      <c r="J91" s="53"/>
      <c r="K91" s="330">
        <v>19</v>
      </c>
      <c r="L91" s="330">
        <f t="shared" si="14"/>
        <v>0</v>
      </c>
      <c r="M91" s="331">
        <f t="shared" si="15"/>
        <v>0</v>
      </c>
      <c r="N91" s="305">
        <f t="shared" si="16"/>
        <v>157</v>
      </c>
      <c r="O91" s="127"/>
      <c r="P91" s="69">
        <f t="shared" si="17"/>
        <v>0</v>
      </c>
      <c r="Q91" s="70">
        <f t="shared" si="18"/>
        <v>0</v>
      </c>
      <c r="R91" s="70">
        <f t="shared" si="19"/>
        <v>0</v>
      </c>
      <c r="S91" s="119"/>
      <c r="T91" s="82">
        <f t="shared" si="12"/>
        <v>0</v>
      </c>
      <c r="U91" s="119"/>
      <c r="V91" s="89">
        <f t="shared" si="20"/>
        <v>0</v>
      </c>
      <c r="Z91" s="45">
        <f t="shared" si="21"/>
        <v>0</v>
      </c>
      <c r="AA91" s="45">
        <f t="shared" si="22"/>
        <v>0</v>
      </c>
    </row>
    <row r="92" spans="1:27" x14ac:dyDescent="0.25">
      <c r="A92" s="2" t="s">
        <v>12</v>
      </c>
      <c r="B92" s="5" t="s">
        <v>234</v>
      </c>
      <c r="C92" s="212">
        <v>7</v>
      </c>
      <c r="D92" s="19" t="s">
        <v>16</v>
      </c>
      <c r="E92" s="52"/>
      <c r="F92" s="53"/>
      <c r="G92" s="53"/>
      <c r="H92" s="318">
        <v>47</v>
      </c>
      <c r="I92" s="318">
        <f t="shared" si="13"/>
        <v>0</v>
      </c>
      <c r="J92" s="53"/>
      <c r="K92" s="330">
        <v>5</v>
      </c>
      <c r="L92" s="330">
        <f t="shared" si="14"/>
        <v>0</v>
      </c>
      <c r="M92" s="331">
        <f t="shared" si="15"/>
        <v>0</v>
      </c>
      <c r="N92" s="305">
        <f t="shared" si="16"/>
        <v>42</v>
      </c>
      <c r="O92" s="127"/>
      <c r="P92" s="69">
        <f t="shared" si="17"/>
        <v>0</v>
      </c>
      <c r="Q92" s="70">
        <f t="shared" si="18"/>
        <v>0</v>
      </c>
      <c r="R92" s="70">
        <f t="shared" si="19"/>
        <v>0</v>
      </c>
      <c r="S92" s="119"/>
      <c r="T92" s="82">
        <f t="shared" si="12"/>
        <v>0</v>
      </c>
      <c r="U92" s="119"/>
      <c r="V92" s="89">
        <f t="shared" si="20"/>
        <v>0</v>
      </c>
      <c r="Z92" s="45">
        <f t="shared" si="21"/>
        <v>0</v>
      </c>
      <c r="AA92" s="45">
        <f t="shared" si="22"/>
        <v>0</v>
      </c>
    </row>
    <row r="93" spans="1:27" x14ac:dyDescent="0.25">
      <c r="A93" s="2" t="s">
        <v>12</v>
      </c>
      <c r="B93" s="5" t="s">
        <v>235</v>
      </c>
      <c r="C93" s="212">
        <v>7</v>
      </c>
      <c r="D93" s="19" t="s">
        <v>16</v>
      </c>
      <c r="E93" s="52"/>
      <c r="F93" s="53"/>
      <c r="G93" s="53"/>
      <c r="H93" s="318">
        <v>165</v>
      </c>
      <c r="I93" s="318">
        <f t="shared" si="13"/>
        <v>0</v>
      </c>
      <c r="J93" s="53"/>
      <c r="K93" s="330">
        <v>18</v>
      </c>
      <c r="L93" s="330">
        <f t="shared" si="14"/>
        <v>0</v>
      </c>
      <c r="M93" s="331">
        <f t="shared" si="15"/>
        <v>0</v>
      </c>
      <c r="N93" s="305">
        <f t="shared" si="16"/>
        <v>147</v>
      </c>
      <c r="O93" s="127"/>
      <c r="P93" s="69">
        <f t="shared" si="17"/>
        <v>0</v>
      </c>
      <c r="Q93" s="70">
        <f t="shared" si="18"/>
        <v>0</v>
      </c>
      <c r="R93" s="70">
        <f t="shared" si="19"/>
        <v>0</v>
      </c>
      <c r="S93" s="119"/>
      <c r="T93" s="82">
        <f t="shared" si="12"/>
        <v>0</v>
      </c>
      <c r="U93" s="119"/>
      <c r="V93" s="89">
        <f t="shared" si="20"/>
        <v>0</v>
      </c>
      <c r="Z93" s="45">
        <f t="shared" si="21"/>
        <v>0</v>
      </c>
      <c r="AA93" s="45">
        <f t="shared" si="22"/>
        <v>0</v>
      </c>
    </row>
    <row r="94" spans="1:27" x14ac:dyDescent="0.25">
      <c r="A94" s="2" t="s">
        <v>12</v>
      </c>
      <c r="B94" s="5" t="s">
        <v>236</v>
      </c>
      <c r="C94" s="212">
        <v>7</v>
      </c>
      <c r="D94" s="19" t="s">
        <v>16</v>
      </c>
      <c r="E94" s="52"/>
      <c r="F94" s="53"/>
      <c r="G94" s="53"/>
      <c r="H94" s="318">
        <v>61</v>
      </c>
      <c r="I94" s="318">
        <f t="shared" si="13"/>
        <v>0</v>
      </c>
      <c r="J94" s="53"/>
      <c r="K94" s="330">
        <v>7</v>
      </c>
      <c r="L94" s="330">
        <f t="shared" si="14"/>
        <v>0</v>
      </c>
      <c r="M94" s="331">
        <f t="shared" si="15"/>
        <v>0</v>
      </c>
      <c r="N94" s="305">
        <f t="shared" si="16"/>
        <v>54</v>
      </c>
      <c r="O94" s="127"/>
      <c r="P94" s="69">
        <f t="shared" si="17"/>
        <v>0</v>
      </c>
      <c r="Q94" s="70">
        <f t="shared" si="18"/>
        <v>0</v>
      </c>
      <c r="R94" s="70">
        <f t="shared" si="19"/>
        <v>0</v>
      </c>
      <c r="S94" s="119"/>
      <c r="T94" s="82">
        <f t="shared" si="12"/>
        <v>0</v>
      </c>
      <c r="U94" s="119"/>
      <c r="V94" s="89">
        <f t="shared" si="20"/>
        <v>0</v>
      </c>
      <c r="Z94" s="45">
        <f t="shared" si="21"/>
        <v>0</v>
      </c>
      <c r="AA94" s="45">
        <f t="shared" si="22"/>
        <v>0</v>
      </c>
    </row>
    <row r="95" spans="1:27" x14ac:dyDescent="0.25">
      <c r="A95" s="2" t="s">
        <v>12</v>
      </c>
      <c r="B95" s="5" t="s">
        <v>237</v>
      </c>
      <c r="C95" s="212">
        <v>7</v>
      </c>
      <c r="D95" s="19" t="s">
        <v>16</v>
      </c>
      <c r="E95" s="52"/>
      <c r="F95" s="53"/>
      <c r="G95" s="53"/>
      <c r="H95" s="318">
        <v>115</v>
      </c>
      <c r="I95" s="318">
        <f t="shared" si="13"/>
        <v>0</v>
      </c>
      <c r="J95" s="53"/>
      <c r="K95" s="330">
        <v>13</v>
      </c>
      <c r="L95" s="330">
        <f t="shared" si="14"/>
        <v>0</v>
      </c>
      <c r="M95" s="331">
        <f t="shared" si="15"/>
        <v>0</v>
      </c>
      <c r="N95" s="305">
        <f t="shared" si="16"/>
        <v>102</v>
      </c>
      <c r="O95" s="127"/>
      <c r="P95" s="69">
        <f t="shared" si="17"/>
        <v>0</v>
      </c>
      <c r="Q95" s="70">
        <f t="shared" si="18"/>
        <v>0</v>
      </c>
      <c r="R95" s="70">
        <f t="shared" si="19"/>
        <v>0</v>
      </c>
      <c r="S95" s="119"/>
      <c r="T95" s="82">
        <f t="shared" si="12"/>
        <v>0</v>
      </c>
      <c r="U95" s="119"/>
      <c r="V95" s="89">
        <f t="shared" si="20"/>
        <v>0</v>
      </c>
      <c r="Z95" s="45">
        <f t="shared" si="21"/>
        <v>0</v>
      </c>
      <c r="AA95" s="45">
        <f t="shared" si="22"/>
        <v>0</v>
      </c>
    </row>
    <row r="96" spans="1:27" x14ac:dyDescent="0.25">
      <c r="A96" s="2" t="s">
        <v>12</v>
      </c>
      <c r="B96" s="5" t="s">
        <v>246</v>
      </c>
      <c r="C96" s="212">
        <v>7</v>
      </c>
      <c r="D96" s="19" t="s">
        <v>16</v>
      </c>
      <c r="E96" s="52"/>
      <c r="F96" s="53"/>
      <c r="G96" s="53"/>
      <c r="H96" s="318">
        <v>52</v>
      </c>
      <c r="I96" s="318">
        <f t="shared" si="13"/>
        <v>0</v>
      </c>
      <c r="J96" s="53"/>
      <c r="K96" s="330">
        <v>6</v>
      </c>
      <c r="L96" s="330">
        <f t="shared" si="14"/>
        <v>0</v>
      </c>
      <c r="M96" s="331">
        <f t="shared" si="15"/>
        <v>0</v>
      </c>
      <c r="N96" s="305">
        <f t="shared" si="16"/>
        <v>46</v>
      </c>
      <c r="O96" s="127"/>
      <c r="P96" s="69">
        <f t="shared" si="17"/>
        <v>0</v>
      </c>
      <c r="Q96" s="70">
        <f t="shared" si="18"/>
        <v>0</v>
      </c>
      <c r="R96" s="70">
        <f t="shared" si="19"/>
        <v>0</v>
      </c>
      <c r="S96" s="119"/>
      <c r="T96" s="82">
        <f t="shared" si="12"/>
        <v>0</v>
      </c>
      <c r="U96" s="119"/>
      <c r="V96" s="89">
        <f t="shared" si="20"/>
        <v>0</v>
      </c>
      <c r="Z96" s="45">
        <f t="shared" si="21"/>
        <v>0</v>
      </c>
      <c r="AA96" s="45">
        <f t="shared" si="22"/>
        <v>0</v>
      </c>
    </row>
    <row r="97" spans="1:27" x14ac:dyDescent="0.25">
      <c r="A97" s="2" t="s">
        <v>12</v>
      </c>
      <c r="B97" s="225" t="s">
        <v>244</v>
      </c>
      <c r="C97" s="226">
        <v>7</v>
      </c>
      <c r="D97" s="227" t="s">
        <v>16</v>
      </c>
      <c r="E97" s="52"/>
      <c r="F97" s="53"/>
      <c r="G97" s="53"/>
      <c r="H97" s="318">
        <v>117</v>
      </c>
      <c r="I97" s="318">
        <f t="shared" si="13"/>
        <v>0</v>
      </c>
      <c r="J97" s="53"/>
      <c r="K97" s="330">
        <v>13</v>
      </c>
      <c r="L97" s="330">
        <f t="shared" si="14"/>
        <v>0</v>
      </c>
      <c r="M97" s="331">
        <f t="shared" si="15"/>
        <v>0</v>
      </c>
      <c r="N97" s="305">
        <f t="shared" si="16"/>
        <v>104</v>
      </c>
      <c r="O97" s="127"/>
      <c r="P97" s="69">
        <f t="shared" si="17"/>
        <v>0</v>
      </c>
      <c r="Q97" s="236">
        <f t="shared" si="18"/>
        <v>0</v>
      </c>
      <c r="R97" s="236">
        <f t="shared" si="19"/>
        <v>0</v>
      </c>
      <c r="S97" s="119"/>
      <c r="T97" s="236">
        <f t="shared" si="12"/>
        <v>0</v>
      </c>
      <c r="U97" s="119"/>
      <c r="V97" s="242">
        <f t="shared" si="20"/>
        <v>0</v>
      </c>
      <c r="Z97" s="45">
        <f t="shared" si="21"/>
        <v>0</v>
      </c>
      <c r="AA97" s="45">
        <f t="shared" si="22"/>
        <v>0</v>
      </c>
    </row>
    <row r="98" spans="1:27" x14ac:dyDescent="0.25">
      <c r="A98" s="2" t="s">
        <v>12</v>
      </c>
      <c r="B98" s="225" t="s">
        <v>247</v>
      </c>
      <c r="C98" s="226">
        <v>7</v>
      </c>
      <c r="D98" s="227" t="s">
        <v>16</v>
      </c>
      <c r="E98" s="52"/>
      <c r="F98" s="53"/>
      <c r="G98" s="53"/>
      <c r="H98" s="318">
        <v>34</v>
      </c>
      <c r="I98" s="318">
        <f t="shared" si="13"/>
        <v>0</v>
      </c>
      <c r="J98" s="53"/>
      <c r="K98" s="330">
        <v>4</v>
      </c>
      <c r="L98" s="330">
        <f t="shared" si="14"/>
        <v>0</v>
      </c>
      <c r="M98" s="331">
        <f t="shared" si="15"/>
        <v>0</v>
      </c>
      <c r="N98" s="305">
        <f t="shared" si="16"/>
        <v>30</v>
      </c>
      <c r="O98" s="127"/>
      <c r="P98" s="69">
        <f t="shared" si="17"/>
        <v>0</v>
      </c>
      <c r="Q98" s="236">
        <f t="shared" si="18"/>
        <v>0</v>
      </c>
      <c r="R98" s="236">
        <f t="shared" si="19"/>
        <v>0</v>
      </c>
      <c r="S98" s="119"/>
      <c r="T98" s="236">
        <f t="shared" si="12"/>
        <v>0</v>
      </c>
      <c r="U98" s="119"/>
      <c r="V98" s="242">
        <f t="shared" si="20"/>
        <v>0</v>
      </c>
      <c r="Z98" s="45">
        <f t="shared" si="21"/>
        <v>0</v>
      </c>
      <c r="AA98" s="45">
        <f t="shared" si="22"/>
        <v>0</v>
      </c>
    </row>
    <row r="99" spans="1:27" x14ac:dyDescent="0.25">
      <c r="A99" s="2" t="s">
        <v>12</v>
      </c>
      <c r="B99" s="225" t="s">
        <v>239</v>
      </c>
      <c r="C99" s="226">
        <v>7</v>
      </c>
      <c r="D99" s="227" t="s">
        <v>16</v>
      </c>
      <c r="E99" s="52"/>
      <c r="F99" s="53"/>
      <c r="G99" s="53"/>
      <c r="H99" s="318">
        <v>127</v>
      </c>
      <c r="I99" s="318">
        <f t="shared" si="13"/>
        <v>0</v>
      </c>
      <c r="J99" s="53"/>
      <c r="K99" s="330">
        <v>14</v>
      </c>
      <c r="L99" s="330">
        <f t="shared" si="14"/>
        <v>0</v>
      </c>
      <c r="M99" s="331">
        <f t="shared" si="15"/>
        <v>0</v>
      </c>
      <c r="N99" s="305">
        <f t="shared" si="16"/>
        <v>113</v>
      </c>
      <c r="O99" s="127"/>
      <c r="P99" s="69">
        <f t="shared" si="17"/>
        <v>0</v>
      </c>
      <c r="Q99" s="236">
        <f t="shared" si="18"/>
        <v>0</v>
      </c>
      <c r="R99" s="236">
        <f t="shared" si="19"/>
        <v>0</v>
      </c>
      <c r="S99" s="119"/>
      <c r="T99" s="236">
        <f t="shared" si="12"/>
        <v>0</v>
      </c>
      <c r="U99" s="119"/>
      <c r="V99" s="242">
        <f t="shared" si="20"/>
        <v>0</v>
      </c>
      <c r="Z99" s="45">
        <f t="shared" si="21"/>
        <v>0</v>
      </c>
      <c r="AA99" s="45">
        <f t="shared" si="22"/>
        <v>0</v>
      </c>
    </row>
    <row r="100" spans="1:27" x14ac:dyDescent="0.25">
      <c r="A100" s="2" t="s">
        <v>12</v>
      </c>
      <c r="B100" s="225" t="s">
        <v>240</v>
      </c>
      <c r="C100" s="226">
        <v>7</v>
      </c>
      <c r="D100" s="227" t="s">
        <v>16</v>
      </c>
      <c r="E100" s="52"/>
      <c r="F100" s="53"/>
      <c r="G100" s="53"/>
      <c r="H100" s="318">
        <v>75</v>
      </c>
      <c r="I100" s="318">
        <f t="shared" si="13"/>
        <v>0</v>
      </c>
      <c r="J100" s="53"/>
      <c r="K100" s="330">
        <v>8</v>
      </c>
      <c r="L100" s="330">
        <f t="shared" si="14"/>
        <v>0</v>
      </c>
      <c r="M100" s="331">
        <f t="shared" si="15"/>
        <v>0</v>
      </c>
      <c r="N100" s="305">
        <f t="shared" si="16"/>
        <v>67</v>
      </c>
      <c r="O100" s="127"/>
      <c r="P100" s="69">
        <f t="shared" si="17"/>
        <v>0</v>
      </c>
      <c r="Q100" s="236">
        <f t="shared" si="18"/>
        <v>0</v>
      </c>
      <c r="R100" s="236">
        <f t="shared" si="19"/>
        <v>0</v>
      </c>
      <c r="S100" s="119"/>
      <c r="T100" s="236">
        <f t="shared" si="12"/>
        <v>0</v>
      </c>
      <c r="U100" s="119"/>
      <c r="V100" s="242">
        <f t="shared" si="20"/>
        <v>0</v>
      </c>
      <c r="Z100" s="45">
        <f t="shared" si="21"/>
        <v>0</v>
      </c>
      <c r="AA100" s="45">
        <f t="shared" si="22"/>
        <v>0</v>
      </c>
    </row>
    <row r="101" spans="1:27" x14ac:dyDescent="0.25">
      <c r="A101" s="2" t="s">
        <v>12</v>
      </c>
      <c r="B101" s="5" t="s">
        <v>242</v>
      </c>
      <c r="C101" s="212">
        <v>7</v>
      </c>
      <c r="D101" s="19" t="s">
        <v>16</v>
      </c>
      <c r="E101" s="52"/>
      <c r="F101" s="53"/>
      <c r="G101" s="53"/>
      <c r="H101" s="318">
        <v>103</v>
      </c>
      <c r="I101" s="318">
        <f t="shared" si="13"/>
        <v>0</v>
      </c>
      <c r="J101" s="53"/>
      <c r="K101" s="330">
        <v>11</v>
      </c>
      <c r="L101" s="330">
        <f t="shared" si="14"/>
        <v>0</v>
      </c>
      <c r="M101" s="331">
        <f t="shared" si="15"/>
        <v>0</v>
      </c>
      <c r="N101" s="305">
        <f t="shared" si="16"/>
        <v>92</v>
      </c>
      <c r="O101" s="127"/>
      <c r="P101" s="69">
        <f t="shared" si="17"/>
        <v>0</v>
      </c>
      <c r="Q101" s="70">
        <f t="shared" si="18"/>
        <v>0</v>
      </c>
      <c r="R101" s="70">
        <f t="shared" si="19"/>
        <v>0</v>
      </c>
      <c r="S101" s="119"/>
      <c r="T101" s="82">
        <f t="shared" ref="T101:T152" si="23">S101*H101</f>
        <v>0</v>
      </c>
      <c r="U101" s="119"/>
      <c r="V101" s="89">
        <f t="shared" si="20"/>
        <v>0</v>
      </c>
      <c r="Z101" s="45">
        <f t="shared" si="21"/>
        <v>0</v>
      </c>
      <c r="AA101" s="45">
        <f t="shared" si="22"/>
        <v>0</v>
      </c>
    </row>
    <row r="102" spans="1:27" x14ac:dyDescent="0.25">
      <c r="A102" s="2" t="s">
        <v>12</v>
      </c>
      <c r="B102" s="5" t="s">
        <v>243</v>
      </c>
      <c r="C102" s="212">
        <v>7</v>
      </c>
      <c r="D102" s="19" t="s">
        <v>16</v>
      </c>
      <c r="E102" s="52"/>
      <c r="F102" s="53"/>
      <c r="G102" s="53"/>
      <c r="H102" s="318">
        <v>41</v>
      </c>
      <c r="I102" s="318">
        <f t="shared" si="13"/>
        <v>0</v>
      </c>
      <c r="J102" s="53"/>
      <c r="K102" s="330">
        <v>5</v>
      </c>
      <c r="L102" s="330">
        <f t="shared" si="14"/>
        <v>0</v>
      </c>
      <c r="M102" s="331">
        <f t="shared" si="15"/>
        <v>0</v>
      </c>
      <c r="N102" s="305">
        <f t="shared" si="16"/>
        <v>36</v>
      </c>
      <c r="O102" s="127"/>
      <c r="P102" s="69">
        <f t="shared" si="17"/>
        <v>0</v>
      </c>
      <c r="Q102" s="70">
        <f t="shared" si="18"/>
        <v>0</v>
      </c>
      <c r="R102" s="70">
        <f t="shared" si="19"/>
        <v>0</v>
      </c>
      <c r="S102" s="119"/>
      <c r="T102" s="82">
        <f t="shared" si="23"/>
        <v>0</v>
      </c>
      <c r="U102" s="119"/>
      <c r="V102" s="89">
        <f t="shared" si="20"/>
        <v>0</v>
      </c>
      <c r="Z102" s="45">
        <f t="shared" si="21"/>
        <v>0</v>
      </c>
      <c r="AA102" s="45">
        <f t="shared" si="22"/>
        <v>0</v>
      </c>
    </row>
    <row r="103" spans="1:27" x14ac:dyDescent="0.25">
      <c r="A103" s="2" t="s">
        <v>12</v>
      </c>
      <c r="B103" s="5" t="s">
        <v>231</v>
      </c>
      <c r="C103" s="212">
        <v>8</v>
      </c>
      <c r="D103" s="19" t="s">
        <v>17</v>
      </c>
      <c r="E103" s="52"/>
      <c r="F103" s="53"/>
      <c r="G103" s="53"/>
      <c r="H103" s="318">
        <v>105</v>
      </c>
      <c r="I103" s="318">
        <f t="shared" si="13"/>
        <v>0</v>
      </c>
      <c r="J103" s="53"/>
      <c r="K103" s="330">
        <v>12</v>
      </c>
      <c r="L103" s="330">
        <f t="shared" si="14"/>
        <v>0</v>
      </c>
      <c r="M103" s="331">
        <f t="shared" si="15"/>
        <v>0</v>
      </c>
      <c r="N103" s="305">
        <f t="shared" si="16"/>
        <v>93</v>
      </c>
      <c r="O103" s="127"/>
      <c r="P103" s="69">
        <f t="shared" si="17"/>
        <v>0</v>
      </c>
      <c r="Q103" s="70">
        <f t="shared" si="18"/>
        <v>0</v>
      </c>
      <c r="R103" s="70">
        <f t="shared" si="19"/>
        <v>0</v>
      </c>
      <c r="S103" s="119"/>
      <c r="T103" s="82">
        <f t="shared" si="23"/>
        <v>0</v>
      </c>
      <c r="U103" s="119"/>
      <c r="V103" s="89">
        <f t="shared" si="20"/>
        <v>0</v>
      </c>
      <c r="Z103" s="45">
        <f t="shared" si="21"/>
        <v>0</v>
      </c>
      <c r="AA103" s="45">
        <f t="shared" si="22"/>
        <v>0</v>
      </c>
    </row>
    <row r="104" spans="1:27" x14ac:dyDescent="0.25">
      <c r="A104" s="2" t="s">
        <v>12</v>
      </c>
      <c r="B104" s="5" t="s">
        <v>232</v>
      </c>
      <c r="C104" s="212">
        <v>8</v>
      </c>
      <c r="D104" s="19" t="s">
        <v>17</v>
      </c>
      <c r="E104" s="52"/>
      <c r="F104" s="53"/>
      <c r="G104" s="53"/>
      <c r="H104" s="318">
        <v>60</v>
      </c>
      <c r="I104" s="318">
        <f t="shared" si="13"/>
        <v>0</v>
      </c>
      <c r="J104" s="53"/>
      <c r="K104" s="330">
        <v>7</v>
      </c>
      <c r="L104" s="330">
        <f t="shared" si="14"/>
        <v>0</v>
      </c>
      <c r="M104" s="331">
        <f t="shared" si="15"/>
        <v>0</v>
      </c>
      <c r="N104" s="305">
        <f t="shared" si="16"/>
        <v>53</v>
      </c>
      <c r="O104" s="127"/>
      <c r="P104" s="69">
        <f t="shared" si="17"/>
        <v>0</v>
      </c>
      <c r="Q104" s="70">
        <f t="shared" si="18"/>
        <v>0</v>
      </c>
      <c r="R104" s="70">
        <f t="shared" si="19"/>
        <v>0</v>
      </c>
      <c r="S104" s="119"/>
      <c r="T104" s="82">
        <f t="shared" si="23"/>
        <v>0</v>
      </c>
      <c r="U104" s="119"/>
      <c r="V104" s="89">
        <f t="shared" si="20"/>
        <v>0</v>
      </c>
      <c r="Z104" s="45">
        <f t="shared" si="21"/>
        <v>0</v>
      </c>
      <c r="AA104" s="45">
        <f t="shared" si="22"/>
        <v>0</v>
      </c>
    </row>
    <row r="105" spans="1:27" x14ac:dyDescent="0.25">
      <c r="A105" s="2" t="s">
        <v>12</v>
      </c>
      <c r="B105" s="5" t="s">
        <v>233</v>
      </c>
      <c r="C105" s="212">
        <v>8</v>
      </c>
      <c r="D105" s="19" t="s">
        <v>17</v>
      </c>
      <c r="E105" s="52"/>
      <c r="F105" s="53"/>
      <c r="G105" s="53"/>
      <c r="H105" s="318">
        <v>162</v>
      </c>
      <c r="I105" s="318">
        <f t="shared" si="13"/>
        <v>0</v>
      </c>
      <c r="J105" s="53"/>
      <c r="K105" s="330">
        <v>18</v>
      </c>
      <c r="L105" s="330">
        <f t="shared" si="14"/>
        <v>0</v>
      </c>
      <c r="M105" s="331">
        <f t="shared" si="15"/>
        <v>0</v>
      </c>
      <c r="N105" s="305">
        <f t="shared" si="16"/>
        <v>144</v>
      </c>
      <c r="O105" s="127"/>
      <c r="P105" s="69">
        <f t="shared" si="17"/>
        <v>0</v>
      </c>
      <c r="Q105" s="70">
        <f t="shared" si="18"/>
        <v>0</v>
      </c>
      <c r="R105" s="70">
        <f t="shared" si="19"/>
        <v>0</v>
      </c>
      <c r="S105" s="119"/>
      <c r="T105" s="82">
        <f t="shared" si="23"/>
        <v>0</v>
      </c>
      <c r="U105" s="119"/>
      <c r="V105" s="89">
        <f t="shared" si="20"/>
        <v>0</v>
      </c>
      <c r="Z105" s="45">
        <f t="shared" si="21"/>
        <v>0</v>
      </c>
      <c r="AA105" s="45">
        <f t="shared" si="22"/>
        <v>0</v>
      </c>
    </row>
    <row r="106" spans="1:27" x14ac:dyDescent="0.25">
      <c r="A106" s="2" t="s">
        <v>12</v>
      </c>
      <c r="B106" s="5" t="s">
        <v>234</v>
      </c>
      <c r="C106" s="212">
        <v>8</v>
      </c>
      <c r="D106" s="19" t="s">
        <v>17</v>
      </c>
      <c r="E106" s="52"/>
      <c r="F106" s="53"/>
      <c r="G106" s="53"/>
      <c r="H106" s="318">
        <v>48</v>
      </c>
      <c r="I106" s="318">
        <f t="shared" si="13"/>
        <v>0</v>
      </c>
      <c r="J106" s="53"/>
      <c r="K106" s="330">
        <v>5</v>
      </c>
      <c r="L106" s="330">
        <f t="shared" si="14"/>
        <v>0</v>
      </c>
      <c r="M106" s="331">
        <f t="shared" si="15"/>
        <v>0</v>
      </c>
      <c r="N106" s="305">
        <f t="shared" si="16"/>
        <v>43</v>
      </c>
      <c r="O106" s="127"/>
      <c r="P106" s="69">
        <f t="shared" si="17"/>
        <v>0</v>
      </c>
      <c r="Q106" s="70">
        <f t="shared" si="18"/>
        <v>0</v>
      </c>
      <c r="R106" s="70">
        <f t="shared" si="19"/>
        <v>0</v>
      </c>
      <c r="S106" s="119"/>
      <c r="T106" s="82">
        <f t="shared" si="23"/>
        <v>0</v>
      </c>
      <c r="U106" s="119"/>
      <c r="V106" s="89">
        <f t="shared" si="20"/>
        <v>0</v>
      </c>
      <c r="Z106" s="45">
        <f t="shared" si="21"/>
        <v>0</v>
      </c>
      <c r="AA106" s="45">
        <f t="shared" si="22"/>
        <v>0</v>
      </c>
    </row>
    <row r="107" spans="1:27" x14ac:dyDescent="0.25">
      <c r="A107" s="2" t="s">
        <v>12</v>
      </c>
      <c r="B107" s="5" t="s">
        <v>235</v>
      </c>
      <c r="C107" s="212">
        <v>8</v>
      </c>
      <c r="D107" s="19" t="s">
        <v>17</v>
      </c>
      <c r="E107" s="52"/>
      <c r="F107" s="53"/>
      <c r="G107" s="53"/>
      <c r="H107" s="318">
        <v>171</v>
      </c>
      <c r="I107" s="318">
        <f t="shared" si="13"/>
        <v>0</v>
      </c>
      <c r="J107" s="53"/>
      <c r="K107" s="330">
        <v>19</v>
      </c>
      <c r="L107" s="330">
        <f t="shared" si="14"/>
        <v>0</v>
      </c>
      <c r="M107" s="331">
        <f t="shared" si="15"/>
        <v>0</v>
      </c>
      <c r="N107" s="305">
        <f t="shared" si="16"/>
        <v>152</v>
      </c>
      <c r="O107" s="127"/>
      <c r="P107" s="69">
        <f t="shared" si="17"/>
        <v>0</v>
      </c>
      <c r="Q107" s="70">
        <f t="shared" si="18"/>
        <v>0</v>
      </c>
      <c r="R107" s="70">
        <f t="shared" si="19"/>
        <v>0</v>
      </c>
      <c r="S107" s="119"/>
      <c r="T107" s="82">
        <f t="shared" si="23"/>
        <v>0</v>
      </c>
      <c r="U107" s="119"/>
      <c r="V107" s="89">
        <f t="shared" si="20"/>
        <v>0</v>
      </c>
      <c r="Z107" s="45">
        <f t="shared" si="21"/>
        <v>0</v>
      </c>
      <c r="AA107" s="45">
        <f t="shared" si="22"/>
        <v>0</v>
      </c>
    </row>
    <row r="108" spans="1:27" x14ac:dyDescent="0.25">
      <c r="A108" s="2" t="s">
        <v>12</v>
      </c>
      <c r="B108" s="5" t="s">
        <v>236</v>
      </c>
      <c r="C108" s="212">
        <v>8</v>
      </c>
      <c r="D108" s="19" t="s">
        <v>17</v>
      </c>
      <c r="E108" s="52"/>
      <c r="F108" s="53"/>
      <c r="G108" s="53"/>
      <c r="H108" s="318">
        <v>59</v>
      </c>
      <c r="I108" s="318">
        <f t="shared" si="13"/>
        <v>0</v>
      </c>
      <c r="J108" s="53"/>
      <c r="K108" s="330">
        <v>7</v>
      </c>
      <c r="L108" s="330">
        <f t="shared" si="14"/>
        <v>0</v>
      </c>
      <c r="M108" s="331">
        <f t="shared" si="15"/>
        <v>0</v>
      </c>
      <c r="N108" s="305">
        <f t="shared" si="16"/>
        <v>52</v>
      </c>
      <c r="O108" s="127"/>
      <c r="P108" s="69">
        <f t="shared" si="17"/>
        <v>0</v>
      </c>
      <c r="Q108" s="70">
        <f t="shared" si="18"/>
        <v>0</v>
      </c>
      <c r="R108" s="70">
        <f t="shared" si="19"/>
        <v>0</v>
      </c>
      <c r="S108" s="119"/>
      <c r="T108" s="82">
        <f t="shared" si="23"/>
        <v>0</v>
      </c>
      <c r="U108" s="119"/>
      <c r="V108" s="89">
        <f t="shared" si="20"/>
        <v>0</v>
      </c>
      <c r="Z108" s="45">
        <f t="shared" si="21"/>
        <v>0</v>
      </c>
      <c r="AA108" s="45">
        <f t="shared" si="22"/>
        <v>0</v>
      </c>
    </row>
    <row r="109" spans="1:27" x14ac:dyDescent="0.25">
      <c r="A109" s="2" t="s">
        <v>12</v>
      </c>
      <c r="B109" s="5" t="s">
        <v>237</v>
      </c>
      <c r="C109" s="212">
        <v>8</v>
      </c>
      <c r="D109" s="19" t="s">
        <v>17</v>
      </c>
      <c r="E109" s="52"/>
      <c r="F109" s="53"/>
      <c r="G109" s="53"/>
      <c r="H109" s="318">
        <v>115</v>
      </c>
      <c r="I109" s="318">
        <f t="shared" si="13"/>
        <v>0</v>
      </c>
      <c r="J109" s="53"/>
      <c r="K109" s="330">
        <v>13</v>
      </c>
      <c r="L109" s="330">
        <f t="shared" si="14"/>
        <v>0</v>
      </c>
      <c r="M109" s="331">
        <f t="shared" si="15"/>
        <v>0</v>
      </c>
      <c r="N109" s="305">
        <f t="shared" si="16"/>
        <v>102</v>
      </c>
      <c r="O109" s="127"/>
      <c r="P109" s="69">
        <f t="shared" si="17"/>
        <v>0</v>
      </c>
      <c r="Q109" s="70">
        <f t="shared" si="18"/>
        <v>0</v>
      </c>
      <c r="R109" s="70">
        <f t="shared" si="19"/>
        <v>0</v>
      </c>
      <c r="S109" s="119"/>
      <c r="T109" s="82">
        <f t="shared" si="23"/>
        <v>0</v>
      </c>
      <c r="U109" s="119"/>
      <c r="V109" s="89">
        <f t="shared" si="20"/>
        <v>0</v>
      </c>
      <c r="Z109" s="45">
        <f t="shared" si="21"/>
        <v>0</v>
      </c>
      <c r="AA109" s="45">
        <f t="shared" si="22"/>
        <v>0</v>
      </c>
    </row>
    <row r="110" spans="1:27" x14ac:dyDescent="0.25">
      <c r="A110" s="2" t="s">
        <v>12</v>
      </c>
      <c r="B110" s="5" t="s">
        <v>246</v>
      </c>
      <c r="C110" s="212">
        <v>8</v>
      </c>
      <c r="D110" s="19" t="s">
        <v>17</v>
      </c>
      <c r="E110" s="52"/>
      <c r="F110" s="53"/>
      <c r="G110" s="53"/>
      <c r="H110" s="318">
        <v>45</v>
      </c>
      <c r="I110" s="318">
        <f t="shared" si="13"/>
        <v>0</v>
      </c>
      <c r="J110" s="53"/>
      <c r="K110" s="330">
        <v>5</v>
      </c>
      <c r="L110" s="330">
        <f t="shared" si="14"/>
        <v>0</v>
      </c>
      <c r="M110" s="331">
        <f t="shared" si="15"/>
        <v>0</v>
      </c>
      <c r="N110" s="305">
        <f t="shared" si="16"/>
        <v>40</v>
      </c>
      <c r="O110" s="127"/>
      <c r="P110" s="69">
        <f t="shared" si="17"/>
        <v>0</v>
      </c>
      <c r="Q110" s="70">
        <f t="shared" si="18"/>
        <v>0</v>
      </c>
      <c r="R110" s="70">
        <f t="shared" si="19"/>
        <v>0</v>
      </c>
      <c r="S110" s="119"/>
      <c r="T110" s="82">
        <f t="shared" si="23"/>
        <v>0</v>
      </c>
      <c r="U110" s="119"/>
      <c r="V110" s="89">
        <f t="shared" si="20"/>
        <v>0</v>
      </c>
      <c r="Z110" s="45">
        <f t="shared" si="21"/>
        <v>0</v>
      </c>
      <c r="AA110" s="45">
        <f t="shared" si="22"/>
        <v>0</v>
      </c>
    </row>
    <row r="111" spans="1:27" x14ac:dyDescent="0.25">
      <c r="A111" s="2" t="s">
        <v>12</v>
      </c>
      <c r="B111" s="225" t="s">
        <v>244</v>
      </c>
      <c r="C111" s="226">
        <v>8</v>
      </c>
      <c r="D111" s="227" t="s">
        <v>17</v>
      </c>
      <c r="E111" s="52"/>
      <c r="F111" s="53"/>
      <c r="G111" s="53"/>
      <c r="H111" s="318">
        <v>177</v>
      </c>
      <c r="I111" s="318">
        <f t="shared" si="13"/>
        <v>0</v>
      </c>
      <c r="J111" s="53"/>
      <c r="K111" s="330">
        <v>19</v>
      </c>
      <c r="L111" s="330">
        <f t="shared" si="14"/>
        <v>0</v>
      </c>
      <c r="M111" s="331">
        <f t="shared" si="15"/>
        <v>0</v>
      </c>
      <c r="N111" s="305">
        <f t="shared" si="16"/>
        <v>158</v>
      </c>
      <c r="O111" s="127"/>
      <c r="P111" s="69">
        <f t="shared" si="17"/>
        <v>0</v>
      </c>
      <c r="Q111" s="236">
        <f t="shared" si="18"/>
        <v>0</v>
      </c>
      <c r="R111" s="236">
        <f t="shared" si="19"/>
        <v>0</v>
      </c>
      <c r="S111" s="119"/>
      <c r="T111" s="236">
        <f t="shared" si="23"/>
        <v>0</v>
      </c>
      <c r="U111" s="119"/>
      <c r="V111" s="242">
        <f t="shared" si="20"/>
        <v>0</v>
      </c>
      <c r="Z111" s="45">
        <f t="shared" si="21"/>
        <v>0</v>
      </c>
      <c r="AA111" s="45">
        <f t="shared" si="22"/>
        <v>0</v>
      </c>
    </row>
    <row r="112" spans="1:27" x14ac:dyDescent="0.25">
      <c r="A112" s="2" t="s">
        <v>12</v>
      </c>
      <c r="B112" s="225" t="s">
        <v>247</v>
      </c>
      <c r="C112" s="226">
        <v>8</v>
      </c>
      <c r="D112" s="227" t="s">
        <v>17</v>
      </c>
      <c r="E112" s="52"/>
      <c r="F112" s="53"/>
      <c r="G112" s="53"/>
      <c r="H112" s="318">
        <v>44</v>
      </c>
      <c r="I112" s="318">
        <f t="shared" si="13"/>
        <v>0</v>
      </c>
      <c r="J112" s="53"/>
      <c r="K112" s="330">
        <v>5</v>
      </c>
      <c r="L112" s="330">
        <f t="shared" si="14"/>
        <v>0</v>
      </c>
      <c r="M112" s="331">
        <f t="shared" si="15"/>
        <v>0</v>
      </c>
      <c r="N112" s="305">
        <f t="shared" si="16"/>
        <v>39</v>
      </c>
      <c r="O112" s="127"/>
      <c r="P112" s="69">
        <f t="shared" si="17"/>
        <v>0</v>
      </c>
      <c r="Q112" s="236">
        <f t="shared" si="18"/>
        <v>0</v>
      </c>
      <c r="R112" s="236">
        <f t="shared" si="19"/>
        <v>0</v>
      </c>
      <c r="S112" s="119"/>
      <c r="T112" s="236">
        <f t="shared" si="23"/>
        <v>0</v>
      </c>
      <c r="U112" s="119"/>
      <c r="V112" s="242">
        <f t="shared" si="20"/>
        <v>0</v>
      </c>
      <c r="Z112" s="45">
        <f t="shared" si="21"/>
        <v>0</v>
      </c>
      <c r="AA112" s="45">
        <f t="shared" si="22"/>
        <v>0</v>
      </c>
    </row>
    <row r="113" spans="1:27" x14ac:dyDescent="0.25">
      <c r="A113" s="2" t="s">
        <v>12</v>
      </c>
      <c r="B113" s="225" t="s">
        <v>239</v>
      </c>
      <c r="C113" s="226">
        <v>8</v>
      </c>
      <c r="D113" s="227" t="s">
        <v>17</v>
      </c>
      <c r="E113" s="52"/>
      <c r="F113" s="53"/>
      <c r="G113" s="53"/>
      <c r="H113" s="318">
        <v>138</v>
      </c>
      <c r="I113" s="318">
        <f t="shared" si="13"/>
        <v>0</v>
      </c>
      <c r="J113" s="53"/>
      <c r="K113" s="330">
        <v>15</v>
      </c>
      <c r="L113" s="330">
        <f t="shared" si="14"/>
        <v>0</v>
      </c>
      <c r="M113" s="331">
        <f t="shared" si="15"/>
        <v>0</v>
      </c>
      <c r="N113" s="305">
        <f t="shared" si="16"/>
        <v>123</v>
      </c>
      <c r="O113" s="127"/>
      <c r="P113" s="69">
        <f t="shared" si="17"/>
        <v>0</v>
      </c>
      <c r="Q113" s="236">
        <f t="shared" si="18"/>
        <v>0</v>
      </c>
      <c r="R113" s="236">
        <f t="shared" si="19"/>
        <v>0</v>
      </c>
      <c r="S113" s="119"/>
      <c r="T113" s="236">
        <f t="shared" si="23"/>
        <v>0</v>
      </c>
      <c r="U113" s="119"/>
      <c r="V113" s="242">
        <f t="shared" si="20"/>
        <v>0</v>
      </c>
      <c r="Z113" s="45">
        <f t="shared" si="21"/>
        <v>0</v>
      </c>
      <c r="AA113" s="45">
        <f t="shared" si="22"/>
        <v>0</v>
      </c>
    </row>
    <row r="114" spans="1:27" x14ac:dyDescent="0.25">
      <c r="A114" s="2" t="s">
        <v>12</v>
      </c>
      <c r="B114" s="225" t="s">
        <v>240</v>
      </c>
      <c r="C114" s="226">
        <v>8</v>
      </c>
      <c r="D114" s="227" t="s">
        <v>17</v>
      </c>
      <c r="E114" s="52"/>
      <c r="F114" s="53"/>
      <c r="G114" s="53"/>
      <c r="H114" s="318">
        <v>77</v>
      </c>
      <c r="I114" s="318">
        <f t="shared" si="13"/>
        <v>0</v>
      </c>
      <c r="J114" s="53"/>
      <c r="K114" s="330">
        <v>8</v>
      </c>
      <c r="L114" s="330">
        <f t="shared" si="14"/>
        <v>0</v>
      </c>
      <c r="M114" s="331">
        <f t="shared" si="15"/>
        <v>0</v>
      </c>
      <c r="N114" s="305">
        <f t="shared" si="16"/>
        <v>69</v>
      </c>
      <c r="O114" s="127"/>
      <c r="P114" s="69">
        <f t="shared" si="17"/>
        <v>0</v>
      </c>
      <c r="Q114" s="236">
        <f t="shared" si="18"/>
        <v>0</v>
      </c>
      <c r="R114" s="236">
        <f t="shared" si="19"/>
        <v>0</v>
      </c>
      <c r="S114" s="119"/>
      <c r="T114" s="236">
        <f t="shared" si="23"/>
        <v>0</v>
      </c>
      <c r="U114" s="119"/>
      <c r="V114" s="242">
        <f t="shared" si="20"/>
        <v>0</v>
      </c>
      <c r="Z114" s="45">
        <f t="shared" si="21"/>
        <v>0</v>
      </c>
      <c r="AA114" s="45">
        <f t="shared" si="22"/>
        <v>0</v>
      </c>
    </row>
    <row r="115" spans="1:27" x14ac:dyDescent="0.25">
      <c r="A115" s="2" t="s">
        <v>12</v>
      </c>
      <c r="B115" s="5" t="s">
        <v>242</v>
      </c>
      <c r="C115" s="212">
        <v>8</v>
      </c>
      <c r="D115" s="19" t="s">
        <v>17</v>
      </c>
      <c r="E115" s="52"/>
      <c r="F115" s="53"/>
      <c r="G115" s="53"/>
      <c r="H115" s="318">
        <v>105</v>
      </c>
      <c r="I115" s="318">
        <f t="shared" si="13"/>
        <v>0</v>
      </c>
      <c r="J115" s="53"/>
      <c r="K115" s="330">
        <v>12</v>
      </c>
      <c r="L115" s="330">
        <f t="shared" si="14"/>
        <v>0</v>
      </c>
      <c r="M115" s="331">
        <f t="shared" si="15"/>
        <v>0</v>
      </c>
      <c r="N115" s="305">
        <f t="shared" si="16"/>
        <v>93</v>
      </c>
      <c r="O115" s="127"/>
      <c r="P115" s="69">
        <f t="shared" si="17"/>
        <v>0</v>
      </c>
      <c r="Q115" s="70">
        <f t="shared" si="18"/>
        <v>0</v>
      </c>
      <c r="R115" s="70">
        <f t="shared" si="19"/>
        <v>0</v>
      </c>
      <c r="S115" s="119"/>
      <c r="T115" s="82">
        <f t="shared" si="23"/>
        <v>0</v>
      </c>
      <c r="U115" s="119"/>
      <c r="V115" s="89">
        <f t="shared" si="20"/>
        <v>0</v>
      </c>
      <c r="Z115" s="45">
        <f t="shared" si="21"/>
        <v>0</v>
      </c>
      <c r="AA115" s="45">
        <f t="shared" si="22"/>
        <v>0</v>
      </c>
    </row>
    <row r="116" spans="1:27" x14ac:dyDescent="0.25">
      <c r="A116" s="2" t="s">
        <v>12</v>
      </c>
      <c r="B116" s="5" t="s">
        <v>243</v>
      </c>
      <c r="C116" s="212">
        <v>8</v>
      </c>
      <c r="D116" s="19" t="s">
        <v>17</v>
      </c>
      <c r="E116" s="52"/>
      <c r="F116" s="53"/>
      <c r="G116" s="53"/>
      <c r="H116" s="318">
        <v>45</v>
      </c>
      <c r="I116" s="318">
        <f t="shared" si="13"/>
        <v>0</v>
      </c>
      <c r="J116" s="53"/>
      <c r="K116" s="330">
        <v>5</v>
      </c>
      <c r="L116" s="330">
        <f t="shared" si="14"/>
        <v>0</v>
      </c>
      <c r="M116" s="331">
        <f t="shared" si="15"/>
        <v>0</v>
      </c>
      <c r="N116" s="305">
        <f t="shared" si="16"/>
        <v>40</v>
      </c>
      <c r="O116" s="127"/>
      <c r="P116" s="69">
        <f t="shared" si="17"/>
        <v>0</v>
      </c>
      <c r="Q116" s="70">
        <f t="shared" si="18"/>
        <v>0</v>
      </c>
      <c r="R116" s="70">
        <f t="shared" si="19"/>
        <v>0</v>
      </c>
      <c r="S116" s="119"/>
      <c r="T116" s="82">
        <f t="shared" si="23"/>
        <v>0</v>
      </c>
      <c r="U116" s="119"/>
      <c r="V116" s="89">
        <f t="shared" si="20"/>
        <v>0</v>
      </c>
      <c r="Z116" s="45">
        <f t="shared" si="21"/>
        <v>0</v>
      </c>
      <c r="AA116" s="45">
        <f t="shared" si="22"/>
        <v>0</v>
      </c>
    </row>
    <row r="117" spans="1:27" x14ac:dyDescent="0.25">
      <c r="A117" s="2" t="s">
        <v>12</v>
      </c>
      <c r="B117" s="5" t="s">
        <v>231</v>
      </c>
      <c r="C117" s="212">
        <v>9</v>
      </c>
      <c r="D117" s="19" t="s">
        <v>170</v>
      </c>
      <c r="E117" s="52"/>
      <c r="F117" s="53"/>
      <c r="G117" s="53"/>
      <c r="H117" s="318">
        <v>129</v>
      </c>
      <c r="I117" s="318">
        <f t="shared" si="13"/>
        <v>0</v>
      </c>
      <c r="J117" s="53"/>
      <c r="K117" s="330">
        <v>14</v>
      </c>
      <c r="L117" s="330">
        <f t="shared" si="14"/>
        <v>0</v>
      </c>
      <c r="M117" s="331">
        <f t="shared" si="15"/>
        <v>0</v>
      </c>
      <c r="N117" s="305">
        <f t="shared" si="16"/>
        <v>115</v>
      </c>
      <c r="O117" s="127"/>
      <c r="P117" s="69">
        <f t="shared" si="17"/>
        <v>0</v>
      </c>
      <c r="Q117" s="70">
        <f t="shared" si="18"/>
        <v>0</v>
      </c>
      <c r="R117" s="70">
        <f t="shared" si="19"/>
        <v>0</v>
      </c>
      <c r="S117" s="119"/>
      <c r="T117" s="82">
        <f t="shared" si="23"/>
        <v>0</v>
      </c>
      <c r="U117" s="119"/>
      <c r="V117" s="89">
        <f t="shared" si="20"/>
        <v>0</v>
      </c>
      <c r="Z117" s="45">
        <f t="shared" si="21"/>
        <v>0</v>
      </c>
      <c r="AA117" s="45">
        <f t="shared" si="22"/>
        <v>0</v>
      </c>
    </row>
    <row r="118" spans="1:27" x14ac:dyDescent="0.25">
      <c r="A118" s="2" t="s">
        <v>12</v>
      </c>
      <c r="B118" s="5" t="s">
        <v>232</v>
      </c>
      <c r="C118" s="212">
        <v>9</v>
      </c>
      <c r="D118" s="19" t="s">
        <v>170</v>
      </c>
      <c r="E118" s="52"/>
      <c r="F118" s="53"/>
      <c r="G118" s="53"/>
      <c r="H118" s="318">
        <v>60</v>
      </c>
      <c r="I118" s="318">
        <f t="shared" si="13"/>
        <v>0</v>
      </c>
      <c r="J118" s="53"/>
      <c r="K118" s="330">
        <v>7</v>
      </c>
      <c r="L118" s="330">
        <f t="shared" si="14"/>
        <v>0</v>
      </c>
      <c r="M118" s="331">
        <f t="shared" si="15"/>
        <v>0</v>
      </c>
      <c r="N118" s="305">
        <f t="shared" si="16"/>
        <v>53</v>
      </c>
      <c r="O118" s="127"/>
      <c r="P118" s="69">
        <f t="shared" si="17"/>
        <v>0</v>
      </c>
      <c r="Q118" s="70">
        <f t="shared" si="18"/>
        <v>0</v>
      </c>
      <c r="R118" s="70">
        <f t="shared" si="19"/>
        <v>0</v>
      </c>
      <c r="S118" s="119"/>
      <c r="T118" s="82">
        <f t="shared" si="23"/>
        <v>0</v>
      </c>
      <c r="U118" s="119"/>
      <c r="V118" s="89">
        <f t="shared" si="20"/>
        <v>0</v>
      </c>
      <c r="Z118" s="45">
        <f t="shared" si="21"/>
        <v>0</v>
      </c>
      <c r="AA118" s="45">
        <f t="shared" si="22"/>
        <v>0</v>
      </c>
    </row>
    <row r="119" spans="1:27" x14ac:dyDescent="0.25">
      <c r="A119" s="2" t="s">
        <v>12</v>
      </c>
      <c r="B119" s="5" t="s">
        <v>233</v>
      </c>
      <c r="C119" s="212">
        <v>9</v>
      </c>
      <c r="D119" s="19" t="s">
        <v>170</v>
      </c>
      <c r="E119" s="52"/>
      <c r="F119" s="53"/>
      <c r="G119" s="53"/>
      <c r="H119" s="318">
        <v>131</v>
      </c>
      <c r="I119" s="318">
        <f t="shared" si="13"/>
        <v>0</v>
      </c>
      <c r="J119" s="53"/>
      <c r="K119" s="330">
        <v>14</v>
      </c>
      <c r="L119" s="330">
        <f t="shared" si="14"/>
        <v>0</v>
      </c>
      <c r="M119" s="331">
        <f t="shared" si="15"/>
        <v>0</v>
      </c>
      <c r="N119" s="305">
        <f t="shared" si="16"/>
        <v>117</v>
      </c>
      <c r="O119" s="127"/>
      <c r="P119" s="69">
        <f t="shared" si="17"/>
        <v>0</v>
      </c>
      <c r="Q119" s="70">
        <f t="shared" si="18"/>
        <v>0</v>
      </c>
      <c r="R119" s="70">
        <f t="shared" si="19"/>
        <v>0</v>
      </c>
      <c r="S119" s="119"/>
      <c r="T119" s="82">
        <f t="shared" si="23"/>
        <v>0</v>
      </c>
      <c r="U119" s="119"/>
      <c r="V119" s="89">
        <f t="shared" si="20"/>
        <v>0</v>
      </c>
      <c r="Z119" s="45">
        <f t="shared" si="21"/>
        <v>0</v>
      </c>
      <c r="AA119" s="45">
        <f t="shared" si="22"/>
        <v>0</v>
      </c>
    </row>
    <row r="120" spans="1:27" x14ac:dyDescent="0.25">
      <c r="A120" s="2" t="s">
        <v>12</v>
      </c>
      <c r="B120" s="5" t="s">
        <v>234</v>
      </c>
      <c r="C120" s="212">
        <v>9</v>
      </c>
      <c r="D120" s="19" t="s">
        <v>170</v>
      </c>
      <c r="E120" s="52"/>
      <c r="F120" s="53"/>
      <c r="G120" s="53"/>
      <c r="H120" s="318">
        <v>44</v>
      </c>
      <c r="I120" s="318">
        <f t="shared" si="13"/>
        <v>0</v>
      </c>
      <c r="J120" s="53"/>
      <c r="K120" s="330">
        <v>5</v>
      </c>
      <c r="L120" s="330">
        <f t="shared" si="14"/>
        <v>0</v>
      </c>
      <c r="M120" s="331">
        <f t="shared" si="15"/>
        <v>0</v>
      </c>
      <c r="N120" s="305">
        <f t="shared" si="16"/>
        <v>39</v>
      </c>
      <c r="O120" s="127"/>
      <c r="P120" s="69">
        <f t="shared" si="17"/>
        <v>0</v>
      </c>
      <c r="Q120" s="70">
        <f t="shared" si="18"/>
        <v>0</v>
      </c>
      <c r="R120" s="70">
        <f t="shared" si="19"/>
        <v>0</v>
      </c>
      <c r="S120" s="119"/>
      <c r="T120" s="82">
        <f t="shared" si="23"/>
        <v>0</v>
      </c>
      <c r="U120" s="119"/>
      <c r="V120" s="89">
        <f t="shared" si="20"/>
        <v>0</v>
      </c>
      <c r="Z120" s="45">
        <f t="shared" si="21"/>
        <v>0</v>
      </c>
      <c r="AA120" s="45">
        <f t="shared" si="22"/>
        <v>0</v>
      </c>
    </row>
    <row r="121" spans="1:27" x14ac:dyDescent="0.25">
      <c r="A121" s="2" t="s">
        <v>12</v>
      </c>
      <c r="B121" s="5" t="s">
        <v>235</v>
      </c>
      <c r="C121" s="212">
        <v>9</v>
      </c>
      <c r="D121" s="19" t="s">
        <v>170</v>
      </c>
      <c r="E121" s="52"/>
      <c r="F121" s="53"/>
      <c r="G121" s="53"/>
      <c r="H121" s="318">
        <v>161</v>
      </c>
      <c r="I121" s="318">
        <f t="shared" si="13"/>
        <v>0</v>
      </c>
      <c r="J121" s="53"/>
      <c r="K121" s="330">
        <v>18</v>
      </c>
      <c r="L121" s="330">
        <f t="shared" si="14"/>
        <v>0</v>
      </c>
      <c r="M121" s="331">
        <f t="shared" si="15"/>
        <v>0</v>
      </c>
      <c r="N121" s="305">
        <f t="shared" si="16"/>
        <v>143</v>
      </c>
      <c r="O121" s="127"/>
      <c r="P121" s="69">
        <f t="shared" si="17"/>
        <v>0</v>
      </c>
      <c r="Q121" s="70">
        <f t="shared" si="18"/>
        <v>0</v>
      </c>
      <c r="R121" s="70">
        <f t="shared" si="19"/>
        <v>0</v>
      </c>
      <c r="S121" s="119"/>
      <c r="T121" s="82">
        <f t="shared" si="23"/>
        <v>0</v>
      </c>
      <c r="U121" s="119"/>
      <c r="V121" s="89">
        <f t="shared" si="20"/>
        <v>0</v>
      </c>
      <c r="Z121" s="45">
        <f t="shared" si="21"/>
        <v>0</v>
      </c>
      <c r="AA121" s="45">
        <f t="shared" si="22"/>
        <v>0</v>
      </c>
    </row>
    <row r="122" spans="1:27" x14ac:dyDescent="0.25">
      <c r="A122" s="2" t="s">
        <v>12</v>
      </c>
      <c r="B122" s="5" t="s">
        <v>236</v>
      </c>
      <c r="C122" s="212">
        <v>9</v>
      </c>
      <c r="D122" s="19" t="s">
        <v>170</v>
      </c>
      <c r="E122" s="52"/>
      <c r="F122" s="53"/>
      <c r="G122" s="53"/>
      <c r="H122" s="318">
        <v>64</v>
      </c>
      <c r="I122" s="318">
        <f t="shared" si="13"/>
        <v>0</v>
      </c>
      <c r="J122" s="53"/>
      <c r="K122" s="330">
        <v>7</v>
      </c>
      <c r="L122" s="330">
        <f t="shared" si="14"/>
        <v>0</v>
      </c>
      <c r="M122" s="331">
        <f t="shared" si="15"/>
        <v>0</v>
      </c>
      <c r="N122" s="305">
        <f t="shared" si="16"/>
        <v>57</v>
      </c>
      <c r="O122" s="127"/>
      <c r="P122" s="69">
        <f t="shared" si="17"/>
        <v>0</v>
      </c>
      <c r="Q122" s="70">
        <f t="shared" si="18"/>
        <v>0</v>
      </c>
      <c r="R122" s="70">
        <f t="shared" si="19"/>
        <v>0</v>
      </c>
      <c r="S122" s="119"/>
      <c r="T122" s="82">
        <f t="shared" si="23"/>
        <v>0</v>
      </c>
      <c r="U122" s="119"/>
      <c r="V122" s="89">
        <f t="shared" si="20"/>
        <v>0</v>
      </c>
      <c r="Z122" s="45">
        <f t="shared" si="21"/>
        <v>0</v>
      </c>
      <c r="AA122" s="45">
        <f t="shared" si="22"/>
        <v>0</v>
      </c>
    </row>
    <row r="123" spans="1:27" x14ac:dyDescent="0.25">
      <c r="A123" s="2" t="s">
        <v>12</v>
      </c>
      <c r="B123" s="5" t="s">
        <v>237</v>
      </c>
      <c r="C123" s="212">
        <v>9</v>
      </c>
      <c r="D123" s="19" t="s">
        <v>170</v>
      </c>
      <c r="E123" s="52"/>
      <c r="F123" s="53"/>
      <c r="G123" s="53"/>
      <c r="H123" s="318">
        <v>140</v>
      </c>
      <c r="I123" s="318">
        <f t="shared" si="13"/>
        <v>0</v>
      </c>
      <c r="J123" s="53"/>
      <c r="K123" s="330">
        <v>15</v>
      </c>
      <c r="L123" s="330">
        <f t="shared" si="14"/>
        <v>0</v>
      </c>
      <c r="M123" s="331">
        <f t="shared" si="15"/>
        <v>0</v>
      </c>
      <c r="N123" s="305">
        <f t="shared" si="16"/>
        <v>125</v>
      </c>
      <c r="O123" s="127"/>
      <c r="P123" s="69">
        <f t="shared" si="17"/>
        <v>0</v>
      </c>
      <c r="Q123" s="70">
        <f t="shared" si="18"/>
        <v>0</v>
      </c>
      <c r="R123" s="70">
        <f t="shared" si="19"/>
        <v>0</v>
      </c>
      <c r="S123" s="119"/>
      <c r="T123" s="82">
        <f t="shared" si="23"/>
        <v>0</v>
      </c>
      <c r="U123" s="119"/>
      <c r="V123" s="89">
        <f t="shared" si="20"/>
        <v>0</v>
      </c>
      <c r="Z123" s="45">
        <f t="shared" si="21"/>
        <v>0</v>
      </c>
      <c r="AA123" s="45">
        <f t="shared" si="22"/>
        <v>0</v>
      </c>
    </row>
    <row r="124" spans="1:27" x14ac:dyDescent="0.25">
      <c r="A124" s="2" t="s">
        <v>12</v>
      </c>
      <c r="B124" s="5" t="s">
        <v>246</v>
      </c>
      <c r="C124" s="212">
        <v>9</v>
      </c>
      <c r="D124" s="19" t="s">
        <v>170</v>
      </c>
      <c r="E124" s="52"/>
      <c r="F124" s="53"/>
      <c r="G124" s="53"/>
      <c r="H124" s="318">
        <v>54</v>
      </c>
      <c r="I124" s="318">
        <f t="shared" si="13"/>
        <v>0</v>
      </c>
      <c r="J124" s="53"/>
      <c r="K124" s="330">
        <v>6</v>
      </c>
      <c r="L124" s="330">
        <f t="shared" si="14"/>
        <v>0</v>
      </c>
      <c r="M124" s="331">
        <f t="shared" si="15"/>
        <v>0</v>
      </c>
      <c r="N124" s="305">
        <f t="shared" si="16"/>
        <v>48</v>
      </c>
      <c r="O124" s="127"/>
      <c r="P124" s="69">
        <f t="shared" si="17"/>
        <v>0</v>
      </c>
      <c r="Q124" s="70">
        <f t="shared" si="18"/>
        <v>0</v>
      </c>
      <c r="R124" s="70">
        <f t="shared" si="19"/>
        <v>0</v>
      </c>
      <c r="S124" s="119"/>
      <c r="T124" s="82">
        <f t="shared" si="23"/>
        <v>0</v>
      </c>
      <c r="U124" s="119"/>
      <c r="V124" s="89">
        <f t="shared" si="20"/>
        <v>0</v>
      </c>
      <c r="Z124" s="45">
        <f t="shared" si="21"/>
        <v>0</v>
      </c>
      <c r="AA124" s="45">
        <f t="shared" si="22"/>
        <v>0</v>
      </c>
    </row>
    <row r="125" spans="1:27" x14ac:dyDescent="0.25">
      <c r="A125" s="2" t="s">
        <v>12</v>
      </c>
      <c r="B125" s="225" t="s">
        <v>244</v>
      </c>
      <c r="C125" s="226">
        <v>9</v>
      </c>
      <c r="D125" s="227" t="s">
        <v>170</v>
      </c>
      <c r="E125" s="52"/>
      <c r="F125" s="53"/>
      <c r="G125" s="53"/>
      <c r="H125" s="318">
        <v>159</v>
      </c>
      <c r="I125" s="318">
        <f t="shared" si="13"/>
        <v>0</v>
      </c>
      <c r="J125" s="53"/>
      <c r="K125" s="330">
        <v>18</v>
      </c>
      <c r="L125" s="330">
        <f t="shared" si="14"/>
        <v>0</v>
      </c>
      <c r="M125" s="331">
        <f t="shared" si="15"/>
        <v>0</v>
      </c>
      <c r="N125" s="305">
        <f t="shared" si="16"/>
        <v>141</v>
      </c>
      <c r="O125" s="127"/>
      <c r="P125" s="69">
        <f t="shared" si="17"/>
        <v>0</v>
      </c>
      <c r="Q125" s="236">
        <f t="shared" si="18"/>
        <v>0</v>
      </c>
      <c r="R125" s="236">
        <f t="shared" si="19"/>
        <v>0</v>
      </c>
      <c r="S125" s="119"/>
      <c r="T125" s="236">
        <f t="shared" si="23"/>
        <v>0</v>
      </c>
      <c r="U125" s="119"/>
      <c r="V125" s="242">
        <f t="shared" si="20"/>
        <v>0</v>
      </c>
      <c r="Z125" s="45">
        <f t="shared" si="21"/>
        <v>0</v>
      </c>
      <c r="AA125" s="45">
        <f t="shared" si="22"/>
        <v>0</v>
      </c>
    </row>
    <row r="126" spans="1:27" x14ac:dyDescent="0.25">
      <c r="A126" s="2" t="s">
        <v>12</v>
      </c>
      <c r="B126" s="225" t="s">
        <v>247</v>
      </c>
      <c r="C126" s="226">
        <v>9</v>
      </c>
      <c r="D126" s="227" t="s">
        <v>170</v>
      </c>
      <c r="E126" s="52"/>
      <c r="F126" s="53"/>
      <c r="G126" s="53"/>
      <c r="H126" s="318">
        <v>57</v>
      </c>
      <c r="I126" s="318">
        <f t="shared" si="13"/>
        <v>0</v>
      </c>
      <c r="J126" s="53"/>
      <c r="K126" s="330">
        <v>6</v>
      </c>
      <c r="L126" s="330">
        <f t="shared" si="14"/>
        <v>0</v>
      </c>
      <c r="M126" s="331">
        <f t="shared" si="15"/>
        <v>0</v>
      </c>
      <c r="N126" s="305">
        <f t="shared" si="16"/>
        <v>51</v>
      </c>
      <c r="O126" s="127"/>
      <c r="P126" s="69">
        <f t="shared" si="17"/>
        <v>0</v>
      </c>
      <c r="Q126" s="236">
        <f t="shared" si="18"/>
        <v>0</v>
      </c>
      <c r="R126" s="236">
        <f t="shared" si="19"/>
        <v>0</v>
      </c>
      <c r="S126" s="119"/>
      <c r="T126" s="236">
        <f t="shared" si="23"/>
        <v>0</v>
      </c>
      <c r="U126" s="119"/>
      <c r="V126" s="242">
        <f t="shared" si="20"/>
        <v>0</v>
      </c>
      <c r="Z126" s="45">
        <f t="shared" si="21"/>
        <v>0</v>
      </c>
      <c r="AA126" s="45">
        <f t="shared" si="22"/>
        <v>0</v>
      </c>
    </row>
    <row r="127" spans="1:27" x14ac:dyDescent="0.25">
      <c r="A127" s="2" t="s">
        <v>12</v>
      </c>
      <c r="B127" s="225" t="s">
        <v>239</v>
      </c>
      <c r="C127" s="226">
        <v>9</v>
      </c>
      <c r="D127" s="227" t="s">
        <v>170</v>
      </c>
      <c r="E127" s="52"/>
      <c r="F127" s="53"/>
      <c r="G127" s="53"/>
      <c r="H127" s="318">
        <v>118</v>
      </c>
      <c r="I127" s="318">
        <f t="shared" si="13"/>
        <v>0</v>
      </c>
      <c r="J127" s="53"/>
      <c r="K127" s="330">
        <v>13</v>
      </c>
      <c r="L127" s="330">
        <f t="shared" si="14"/>
        <v>0</v>
      </c>
      <c r="M127" s="331">
        <f t="shared" si="15"/>
        <v>0</v>
      </c>
      <c r="N127" s="305">
        <f t="shared" si="16"/>
        <v>105</v>
      </c>
      <c r="O127" s="127"/>
      <c r="P127" s="69">
        <f t="shared" si="17"/>
        <v>0</v>
      </c>
      <c r="Q127" s="236">
        <f t="shared" si="18"/>
        <v>0</v>
      </c>
      <c r="R127" s="236">
        <f t="shared" si="19"/>
        <v>0</v>
      </c>
      <c r="S127" s="119"/>
      <c r="T127" s="236">
        <f t="shared" si="23"/>
        <v>0</v>
      </c>
      <c r="U127" s="119"/>
      <c r="V127" s="242">
        <f t="shared" si="20"/>
        <v>0</v>
      </c>
      <c r="Z127" s="45">
        <f t="shared" si="21"/>
        <v>0</v>
      </c>
      <c r="AA127" s="45">
        <f t="shared" si="22"/>
        <v>0</v>
      </c>
    </row>
    <row r="128" spans="1:27" x14ac:dyDescent="0.25">
      <c r="A128" s="2" t="s">
        <v>12</v>
      </c>
      <c r="B128" s="225" t="s">
        <v>240</v>
      </c>
      <c r="C128" s="226">
        <v>9</v>
      </c>
      <c r="D128" s="227" t="s">
        <v>170</v>
      </c>
      <c r="E128" s="52"/>
      <c r="F128" s="53"/>
      <c r="G128" s="53"/>
      <c r="H128" s="318">
        <v>67</v>
      </c>
      <c r="I128" s="318">
        <f t="shared" si="13"/>
        <v>0</v>
      </c>
      <c r="J128" s="53"/>
      <c r="K128" s="330">
        <v>7</v>
      </c>
      <c r="L128" s="330">
        <f t="shared" si="14"/>
        <v>0</v>
      </c>
      <c r="M128" s="331">
        <f t="shared" si="15"/>
        <v>0</v>
      </c>
      <c r="N128" s="305">
        <f t="shared" si="16"/>
        <v>60</v>
      </c>
      <c r="O128" s="127"/>
      <c r="P128" s="69">
        <f t="shared" si="17"/>
        <v>0</v>
      </c>
      <c r="Q128" s="236">
        <f t="shared" si="18"/>
        <v>0</v>
      </c>
      <c r="R128" s="236">
        <f t="shared" si="19"/>
        <v>0</v>
      </c>
      <c r="S128" s="119"/>
      <c r="T128" s="236">
        <f t="shared" si="23"/>
        <v>0</v>
      </c>
      <c r="U128" s="119"/>
      <c r="V128" s="242">
        <f t="shared" si="20"/>
        <v>0</v>
      </c>
      <c r="Z128" s="45">
        <f t="shared" si="21"/>
        <v>0</v>
      </c>
      <c r="AA128" s="45">
        <f t="shared" si="22"/>
        <v>0</v>
      </c>
    </row>
    <row r="129" spans="1:27" x14ac:dyDescent="0.25">
      <c r="A129" s="2" t="s">
        <v>12</v>
      </c>
      <c r="B129" s="5" t="s">
        <v>242</v>
      </c>
      <c r="C129" s="212">
        <v>9</v>
      </c>
      <c r="D129" s="19" t="s">
        <v>170</v>
      </c>
      <c r="E129" s="52"/>
      <c r="F129" s="53"/>
      <c r="G129" s="53"/>
      <c r="H129" s="318">
        <v>102</v>
      </c>
      <c r="I129" s="318">
        <f t="shared" si="13"/>
        <v>0</v>
      </c>
      <c r="J129" s="53"/>
      <c r="K129" s="330">
        <v>11</v>
      </c>
      <c r="L129" s="330">
        <f t="shared" si="14"/>
        <v>0</v>
      </c>
      <c r="M129" s="331">
        <f t="shared" si="15"/>
        <v>0</v>
      </c>
      <c r="N129" s="305">
        <f t="shared" si="16"/>
        <v>91</v>
      </c>
      <c r="O129" s="127"/>
      <c r="P129" s="69">
        <f t="shared" si="17"/>
        <v>0</v>
      </c>
      <c r="Q129" s="70">
        <f t="shared" si="18"/>
        <v>0</v>
      </c>
      <c r="R129" s="70">
        <f t="shared" si="19"/>
        <v>0</v>
      </c>
      <c r="S129" s="119"/>
      <c r="T129" s="82">
        <f t="shared" si="23"/>
        <v>0</v>
      </c>
      <c r="U129" s="119"/>
      <c r="V129" s="89">
        <f t="shared" si="20"/>
        <v>0</v>
      </c>
      <c r="Z129" s="45">
        <f t="shared" si="21"/>
        <v>0</v>
      </c>
      <c r="AA129" s="45">
        <f t="shared" si="22"/>
        <v>0</v>
      </c>
    </row>
    <row r="130" spans="1:27" x14ac:dyDescent="0.25">
      <c r="A130" s="2" t="s">
        <v>12</v>
      </c>
      <c r="B130" s="5" t="s">
        <v>243</v>
      </c>
      <c r="C130" s="212">
        <v>9</v>
      </c>
      <c r="D130" s="19" t="s">
        <v>170</v>
      </c>
      <c r="E130" s="52"/>
      <c r="F130" s="53"/>
      <c r="G130" s="53"/>
      <c r="H130" s="318">
        <v>40</v>
      </c>
      <c r="I130" s="318">
        <f t="shared" si="13"/>
        <v>0</v>
      </c>
      <c r="J130" s="53"/>
      <c r="K130" s="330">
        <v>4</v>
      </c>
      <c r="L130" s="330">
        <f t="shared" si="14"/>
        <v>0</v>
      </c>
      <c r="M130" s="331">
        <f t="shared" si="15"/>
        <v>0</v>
      </c>
      <c r="N130" s="305">
        <f t="shared" si="16"/>
        <v>36</v>
      </c>
      <c r="O130" s="127"/>
      <c r="P130" s="69">
        <f t="shared" si="17"/>
        <v>0</v>
      </c>
      <c r="Q130" s="70">
        <f t="shared" si="18"/>
        <v>0</v>
      </c>
      <c r="R130" s="70">
        <f t="shared" si="19"/>
        <v>0</v>
      </c>
      <c r="S130" s="119"/>
      <c r="T130" s="82">
        <f t="shared" si="23"/>
        <v>0</v>
      </c>
      <c r="U130" s="119"/>
      <c r="V130" s="89">
        <f t="shared" si="20"/>
        <v>0</v>
      </c>
      <c r="Z130" s="45">
        <f t="shared" si="21"/>
        <v>0</v>
      </c>
      <c r="AA130" s="45">
        <f t="shared" si="22"/>
        <v>0</v>
      </c>
    </row>
    <row r="131" spans="1:27" x14ac:dyDescent="0.25">
      <c r="A131" s="10" t="s">
        <v>13</v>
      </c>
      <c r="B131" s="15" t="s">
        <v>242</v>
      </c>
      <c r="C131" s="213">
        <v>7</v>
      </c>
      <c r="D131" s="20" t="s">
        <v>16</v>
      </c>
      <c r="E131" s="54"/>
      <c r="F131" s="55"/>
      <c r="G131" s="55"/>
      <c r="H131" s="319">
        <v>96</v>
      </c>
      <c r="I131" s="319">
        <f t="shared" si="13"/>
        <v>0</v>
      </c>
      <c r="J131" s="55"/>
      <c r="K131" s="332">
        <v>11</v>
      </c>
      <c r="L131" s="332">
        <f t="shared" si="14"/>
        <v>0</v>
      </c>
      <c r="M131" s="333">
        <f t="shared" si="15"/>
        <v>0</v>
      </c>
      <c r="N131" s="306">
        <f t="shared" si="16"/>
        <v>85</v>
      </c>
      <c r="O131" s="128"/>
      <c r="P131" s="71">
        <f t="shared" si="17"/>
        <v>0</v>
      </c>
      <c r="Q131" s="72">
        <f t="shared" si="18"/>
        <v>0</v>
      </c>
      <c r="R131" s="72">
        <f t="shared" si="19"/>
        <v>0</v>
      </c>
      <c r="S131" s="120"/>
      <c r="T131" s="83">
        <f t="shared" si="23"/>
        <v>0</v>
      </c>
      <c r="U131" s="120"/>
      <c r="V131" s="90">
        <f t="shared" si="20"/>
        <v>0</v>
      </c>
      <c r="Z131" s="45">
        <f t="shared" si="21"/>
        <v>0</v>
      </c>
      <c r="AA131" s="45">
        <f t="shared" si="22"/>
        <v>0</v>
      </c>
    </row>
    <row r="132" spans="1:27" x14ac:dyDescent="0.25">
      <c r="A132" s="10" t="s">
        <v>13</v>
      </c>
      <c r="B132" s="15" t="s">
        <v>243</v>
      </c>
      <c r="C132" s="213">
        <v>7</v>
      </c>
      <c r="D132" s="20" t="s">
        <v>16</v>
      </c>
      <c r="E132" s="54"/>
      <c r="F132" s="55"/>
      <c r="G132" s="55"/>
      <c r="H132" s="319">
        <v>43</v>
      </c>
      <c r="I132" s="319">
        <f t="shared" si="13"/>
        <v>0</v>
      </c>
      <c r="J132" s="55"/>
      <c r="K132" s="332">
        <v>5</v>
      </c>
      <c r="L132" s="332">
        <f t="shared" si="14"/>
        <v>0</v>
      </c>
      <c r="M132" s="333">
        <f t="shared" si="15"/>
        <v>0</v>
      </c>
      <c r="N132" s="306">
        <f t="shared" si="16"/>
        <v>38</v>
      </c>
      <c r="O132" s="128"/>
      <c r="P132" s="71">
        <f t="shared" si="17"/>
        <v>0</v>
      </c>
      <c r="Q132" s="72">
        <f t="shared" si="18"/>
        <v>0</v>
      </c>
      <c r="R132" s="72">
        <f t="shared" si="19"/>
        <v>0</v>
      </c>
      <c r="S132" s="120"/>
      <c r="T132" s="83">
        <f t="shared" si="23"/>
        <v>0</v>
      </c>
      <c r="U132" s="120"/>
      <c r="V132" s="90">
        <f t="shared" si="20"/>
        <v>0</v>
      </c>
      <c r="Z132" s="45">
        <f t="shared" si="21"/>
        <v>0</v>
      </c>
      <c r="AA132" s="45">
        <f t="shared" si="22"/>
        <v>0</v>
      </c>
    </row>
    <row r="133" spans="1:27" x14ac:dyDescent="0.25">
      <c r="A133" s="10" t="s">
        <v>13</v>
      </c>
      <c r="B133" s="15" t="s">
        <v>242</v>
      </c>
      <c r="C133" s="213">
        <v>8</v>
      </c>
      <c r="D133" s="20" t="s">
        <v>17</v>
      </c>
      <c r="E133" s="54"/>
      <c r="F133" s="55"/>
      <c r="G133" s="55"/>
      <c r="H133" s="319">
        <v>100</v>
      </c>
      <c r="I133" s="319">
        <f t="shared" si="13"/>
        <v>0</v>
      </c>
      <c r="J133" s="55"/>
      <c r="K133" s="332">
        <v>11</v>
      </c>
      <c r="L133" s="332">
        <f t="shared" si="14"/>
        <v>0</v>
      </c>
      <c r="M133" s="333">
        <f t="shared" si="15"/>
        <v>0</v>
      </c>
      <c r="N133" s="306">
        <f t="shared" si="16"/>
        <v>89</v>
      </c>
      <c r="O133" s="128"/>
      <c r="P133" s="71">
        <f t="shared" si="17"/>
        <v>0</v>
      </c>
      <c r="Q133" s="72">
        <f t="shared" si="18"/>
        <v>0</v>
      </c>
      <c r="R133" s="72">
        <f t="shared" si="19"/>
        <v>0</v>
      </c>
      <c r="S133" s="120"/>
      <c r="T133" s="83">
        <f t="shared" si="23"/>
        <v>0</v>
      </c>
      <c r="U133" s="120"/>
      <c r="V133" s="90">
        <f t="shared" si="20"/>
        <v>0</v>
      </c>
      <c r="Z133" s="45">
        <f t="shared" si="21"/>
        <v>0</v>
      </c>
      <c r="AA133" s="45">
        <f t="shared" si="22"/>
        <v>0</v>
      </c>
    </row>
    <row r="134" spans="1:27" x14ac:dyDescent="0.25">
      <c r="A134" s="10" t="s">
        <v>13</v>
      </c>
      <c r="B134" s="15" t="s">
        <v>243</v>
      </c>
      <c r="C134" s="213">
        <v>8</v>
      </c>
      <c r="D134" s="20" t="s">
        <v>17</v>
      </c>
      <c r="E134" s="54"/>
      <c r="F134" s="55"/>
      <c r="G134" s="55"/>
      <c r="H134" s="319">
        <v>40</v>
      </c>
      <c r="I134" s="319">
        <f t="shared" ref="I134:I157" si="24">G134*H134</f>
        <v>0</v>
      </c>
      <c r="J134" s="55"/>
      <c r="K134" s="332">
        <v>4</v>
      </c>
      <c r="L134" s="332">
        <f t="shared" ref="L134:L157" si="25">J134*K134</f>
        <v>0</v>
      </c>
      <c r="M134" s="333">
        <f t="shared" ref="M134:M158" si="26">I134+L134</f>
        <v>0</v>
      </c>
      <c r="N134" s="306">
        <f t="shared" si="16"/>
        <v>36</v>
      </c>
      <c r="O134" s="128"/>
      <c r="P134" s="71">
        <f t="shared" ref="P134:P157" si="27">N134*O134</f>
        <v>0</v>
      </c>
      <c r="Q134" s="72">
        <f t="shared" ref="Q134:Q157" si="28">J134-O134</f>
        <v>0</v>
      </c>
      <c r="R134" s="72">
        <f t="shared" ref="R134:R157" si="29">N134*Q134</f>
        <v>0</v>
      </c>
      <c r="S134" s="120"/>
      <c r="T134" s="83">
        <f t="shared" si="23"/>
        <v>0</v>
      </c>
      <c r="U134" s="120"/>
      <c r="V134" s="90">
        <f t="shared" si="20"/>
        <v>0</v>
      </c>
      <c r="Z134" s="45">
        <f t="shared" ref="Z134:Z157" si="30">K134*O134</f>
        <v>0</v>
      </c>
      <c r="AA134" s="45">
        <f t="shared" ref="AA134:AA157" si="31">K134*Q134</f>
        <v>0</v>
      </c>
    </row>
    <row r="135" spans="1:27" x14ac:dyDescent="0.25">
      <c r="A135" s="10" t="s">
        <v>13</v>
      </c>
      <c r="B135" s="15" t="s">
        <v>242</v>
      </c>
      <c r="C135" s="213">
        <v>9</v>
      </c>
      <c r="D135" s="20" t="s">
        <v>170</v>
      </c>
      <c r="E135" s="54"/>
      <c r="F135" s="55"/>
      <c r="G135" s="55"/>
      <c r="H135" s="319">
        <v>102</v>
      </c>
      <c r="I135" s="319">
        <f t="shared" si="24"/>
        <v>0</v>
      </c>
      <c r="J135" s="55"/>
      <c r="K135" s="332">
        <v>11</v>
      </c>
      <c r="L135" s="332">
        <f t="shared" si="25"/>
        <v>0</v>
      </c>
      <c r="M135" s="333">
        <f t="shared" si="26"/>
        <v>0</v>
      </c>
      <c r="N135" s="306">
        <f t="shared" si="16"/>
        <v>91</v>
      </c>
      <c r="O135" s="128"/>
      <c r="P135" s="71">
        <f t="shared" si="27"/>
        <v>0</v>
      </c>
      <c r="Q135" s="72">
        <f t="shared" si="28"/>
        <v>0</v>
      </c>
      <c r="R135" s="72">
        <f t="shared" si="29"/>
        <v>0</v>
      </c>
      <c r="S135" s="120"/>
      <c r="T135" s="83">
        <f t="shared" si="23"/>
        <v>0</v>
      </c>
      <c r="U135" s="120"/>
      <c r="V135" s="90">
        <f t="shared" si="20"/>
        <v>0</v>
      </c>
      <c r="Z135" s="45">
        <f t="shared" si="30"/>
        <v>0</v>
      </c>
      <c r="AA135" s="45">
        <f t="shared" si="31"/>
        <v>0</v>
      </c>
    </row>
    <row r="136" spans="1:27" x14ac:dyDescent="0.25">
      <c r="A136" s="10" t="s">
        <v>13</v>
      </c>
      <c r="B136" s="15" t="s">
        <v>243</v>
      </c>
      <c r="C136" s="213">
        <v>9</v>
      </c>
      <c r="D136" s="20" t="s">
        <v>170</v>
      </c>
      <c r="E136" s="54"/>
      <c r="F136" s="55"/>
      <c r="G136" s="55"/>
      <c r="H136" s="319">
        <v>45</v>
      </c>
      <c r="I136" s="319">
        <f t="shared" si="24"/>
        <v>0</v>
      </c>
      <c r="J136" s="55"/>
      <c r="K136" s="332">
        <v>5</v>
      </c>
      <c r="L136" s="332">
        <f t="shared" si="25"/>
        <v>0</v>
      </c>
      <c r="M136" s="333">
        <f t="shared" si="26"/>
        <v>0</v>
      </c>
      <c r="N136" s="306">
        <f t="shared" si="16"/>
        <v>40</v>
      </c>
      <c r="O136" s="128"/>
      <c r="P136" s="71">
        <f t="shared" si="27"/>
        <v>0</v>
      </c>
      <c r="Q136" s="72">
        <f t="shared" si="28"/>
        <v>0</v>
      </c>
      <c r="R136" s="72">
        <f t="shared" si="29"/>
        <v>0</v>
      </c>
      <c r="S136" s="120"/>
      <c r="T136" s="83">
        <f t="shared" si="23"/>
        <v>0</v>
      </c>
      <c r="U136" s="120"/>
      <c r="V136" s="90">
        <f t="shared" si="20"/>
        <v>0</v>
      </c>
      <c r="Z136" s="45">
        <f t="shared" si="30"/>
        <v>0</v>
      </c>
      <c r="AA136" s="45">
        <f t="shared" si="31"/>
        <v>0</v>
      </c>
    </row>
    <row r="137" spans="1:27" x14ac:dyDescent="0.25">
      <c r="A137" s="9" t="s">
        <v>14</v>
      </c>
      <c r="B137" s="228" t="s">
        <v>241</v>
      </c>
      <c r="C137" s="229">
        <v>7</v>
      </c>
      <c r="D137" s="230" t="s">
        <v>16</v>
      </c>
      <c r="E137" s="56"/>
      <c r="F137" s="57"/>
      <c r="G137" s="57"/>
      <c r="H137" s="320">
        <v>138</v>
      </c>
      <c r="I137" s="320">
        <f t="shared" si="24"/>
        <v>0</v>
      </c>
      <c r="J137" s="57"/>
      <c r="K137" s="334">
        <v>15</v>
      </c>
      <c r="L137" s="334">
        <f t="shared" si="25"/>
        <v>0</v>
      </c>
      <c r="M137" s="335">
        <f t="shared" si="26"/>
        <v>0</v>
      </c>
      <c r="N137" s="307">
        <f t="shared" si="16"/>
        <v>123</v>
      </c>
      <c r="O137" s="129"/>
      <c r="P137" s="73">
        <f t="shared" si="27"/>
        <v>0</v>
      </c>
      <c r="Q137" s="237">
        <f t="shared" si="28"/>
        <v>0</v>
      </c>
      <c r="R137" s="237">
        <f t="shared" si="29"/>
        <v>0</v>
      </c>
      <c r="S137" s="121"/>
      <c r="T137" s="237">
        <f t="shared" si="23"/>
        <v>0</v>
      </c>
      <c r="U137" s="121"/>
      <c r="V137" s="243">
        <f t="shared" si="20"/>
        <v>0</v>
      </c>
      <c r="Z137" s="45">
        <f t="shared" si="30"/>
        <v>0</v>
      </c>
      <c r="AA137" s="45">
        <f t="shared" si="31"/>
        <v>0</v>
      </c>
    </row>
    <row r="138" spans="1:27" x14ac:dyDescent="0.25">
      <c r="A138" s="9" t="s">
        <v>14</v>
      </c>
      <c r="B138" s="228" t="s">
        <v>239</v>
      </c>
      <c r="C138" s="229">
        <v>7</v>
      </c>
      <c r="D138" s="230" t="s">
        <v>16</v>
      </c>
      <c r="E138" s="56"/>
      <c r="F138" s="57"/>
      <c r="G138" s="57"/>
      <c r="H138" s="320">
        <v>151</v>
      </c>
      <c r="I138" s="320">
        <f t="shared" si="24"/>
        <v>0</v>
      </c>
      <c r="J138" s="57"/>
      <c r="K138" s="334">
        <v>17</v>
      </c>
      <c r="L138" s="334">
        <f t="shared" si="25"/>
        <v>0</v>
      </c>
      <c r="M138" s="335">
        <f t="shared" si="26"/>
        <v>0</v>
      </c>
      <c r="N138" s="307">
        <f t="shared" si="16"/>
        <v>134</v>
      </c>
      <c r="O138" s="129"/>
      <c r="P138" s="73">
        <f t="shared" ref="P138" si="32">N138*O138</f>
        <v>0</v>
      </c>
      <c r="Q138" s="237">
        <f t="shared" ref="Q138" si="33">J138-O138</f>
        <v>0</v>
      </c>
      <c r="R138" s="237">
        <f t="shared" ref="R138" si="34">N138*Q138</f>
        <v>0</v>
      </c>
      <c r="S138" s="121"/>
      <c r="T138" s="237">
        <f t="shared" si="23"/>
        <v>0</v>
      </c>
      <c r="U138" s="121"/>
      <c r="V138" s="243">
        <f t="shared" si="20"/>
        <v>0</v>
      </c>
      <c r="Z138" s="45">
        <f t="shared" si="30"/>
        <v>0</v>
      </c>
      <c r="AA138" s="45">
        <f t="shared" si="31"/>
        <v>0</v>
      </c>
    </row>
    <row r="139" spans="1:27" x14ac:dyDescent="0.25">
      <c r="A139" s="9" t="s">
        <v>14</v>
      </c>
      <c r="B139" s="228" t="s">
        <v>241</v>
      </c>
      <c r="C139" s="229">
        <v>8</v>
      </c>
      <c r="D139" s="230" t="s">
        <v>17</v>
      </c>
      <c r="E139" s="56"/>
      <c r="F139" s="57"/>
      <c r="G139" s="57"/>
      <c r="H139" s="320">
        <v>159</v>
      </c>
      <c r="I139" s="320">
        <f t="shared" si="24"/>
        <v>0</v>
      </c>
      <c r="J139" s="57"/>
      <c r="K139" s="334">
        <v>18</v>
      </c>
      <c r="L139" s="334">
        <f t="shared" si="25"/>
        <v>0</v>
      </c>
      <c r="M139" s="335">
        <f t="shared" si="26"/>
        <v>0</v>
      </c>
      <c r="N139" s="307">
        <f t="shared" si="16"/>
        <v>141</v>
      </c>
      <c r="O139" s="129"/>
      <c r="P139" s="73">
        <f t="shared" si="27"/>
        <v>0</v>
      </c>
      <c r="Q139" s="237">
        <f t="shared" si="28"/>
        <v>0</v>
      </c>
      <c r="R139" s="237">
        <f t="shared" si="29"/>
        <v>0</v>
      </c>
      <c r="S139" s="121"/>
      <c r="T139" s="237">
        <f t="shared" si="23"/>
        <v>0</v>
      </c>
      <c r="U139" s="121"/>
      <c r="V139" s="243">
        <f t="shared" si="20"/>
        <v>0</v>
      </c>
      <c r="Z139" s="45">
        <f t="shared" si="30"/>
        <v>0</v>
      </c>
      <c r="AA139" s="45">
        <f t="shared" si="31"/>
        <v>0</v>
      </c>
    </row>
    <row r="140" spans="1:27" x14ac:dyDescent="0.25">
      <c r="A140" s="9" t="s">
        <v>14</v>
      </c>
      <c r="B140" s="228" t="s">
        <v>239</v>
      </c>
      <c r="C140" s="229">
        <v>8</v>
      </c>
      <c r="D140" s="230" t="s">
        <v>17</v>
      </c>
      <c r="E140" s="56"/>
      <c r="F140" s="57"/>
      <c r="G140" s="57"/>
      <c r="H140" s="320">
        <v>130</v>
      </c>
      <c r="I140" s="320">
        <f t="shared" si="24"/>
        <v>0</v>
      </c>
      <c r="J140" s="57"/>
      <c r="K140" s="334">
        <v>14</v>
      </c>
      <c r="L140" s="334">
        <f t="shared" si="25"/>
        <v>0</v>
      </c>
      <c r="M140" s="335">
        <f t="shared" si="26"/>
        <v>0</v>
      </c>
      <c r="N140" s="307">
        <f t="shared" si="16"/>
        <v>116</v>
      </c>
      <c r="O140" s="129"/>
      <c r="P140" s="73">
        <f t="shared" si="27"/>
        <v>0</v>
      </c>
      <c r="Q140" s="237">
        <f t="shared" si="28"/>
        <v>0</v>
      </c>
      <c r="R140" s="237">
        <f t="shared" si="29"/>
        <v>0</v>
      </c>
      <c r="S140" s="121"/>
      <c r="T140" s="237">
        <f t="shared" si="23"/>
        <v>0</v>
      </c>
      <c r="U140" s="121"/>
      <c r="V140" s="243">
        <f t="shared" si="20"/>
        <v>0</v>
      </c>
      <c r="Z140" s="45">
        <f t="shared" si="30"/>
        <v>0</v>
      </c>
      <c r="AA140" s="45">
        <f t="shared" si="31"/>
        <v>0</v>
      </c>
    </row>
    <row r="141" spans="1:27" x14ac:dyDescent="0.25">
      <c r="A141" s="9" t="s">
        <v>14</v>
      </c>
      <c r="B141" s="228" t="s">
        <v>241</v>
      </c>
      <c r="C141" s="229">
        <v>9</v>
      </c>
      <c r="D141" s="230" t="s">
        <v>170</v>
      </c>
      <c r="E141" s="56"/>
      <c r="F141" s="57"/>
      <c r="G141" s="57"/>
      <c r="H141" s="320">
        <v>140</v>
      </c>
      <c r="I141" s="320">
        <f t="shared" si="24"/>
        <v>0</v>
      </c>
      <c r="J141" s="57"/>
      <c r="K141" s="334">
        <v>15</v>
      </c>
      <c r="L141" s="334">
        <f t="shared" si="25"/>
        <v>0</v>
      </c>
      <c r="M141" s="335">
        <f t="shared" si="26"/>
        <v>0</v>
      </c>
      <c r="N141" s="307">
        <f t="shared" si="16"/>
        <v>125</v>
      </c>
      <c r="O141" s="129"/>
      <c r="P141" s="73">
        <f t="shared" si="27"/>
        <v>0</v>
      </c>
      <c r="Q141" s="237">
        <f t="shared" si="28"/>
        <v>0</v>
      </c>
      <c r="R141" s="237">
        <f t="shared" si="29"/>
        <v>0</v>
      </c>
      <c r="S141" s="121"/>
      <c r="T141" s="237">
        <f t="shared" si="23"/>
        <v>0</v>
      </c>
      <c r="U141" s="121"/>
      <c r="V141" s="243">
        <f t="shared" si="20"/>
        <v>0</v>
      </c>
      <c r="Z141" s="45">
        <f t="shared" si="30"/>
        <v>0</v>
      </c>
      <c r="AA141" s="45">
        <f t="shared" si="31"/>
        <v>0</v>
      </c>
    </row>
    <row r="142" spans="1:27" x14ac:dyDescent="0.25">
      <c r="A142" s="9" t="s">
        <v>14</v>
      </c>
      <c r="B142" s="228" t="s">
        <v>239</v>
      </c>
      <c r="C142" s="229">
        <v>9</v>
      </c>
      <c r="D142" s="230" t="s">
        <v>170</v>
      </c>
      <c r="E142" s="56"/>
      <c r="F142" s="57"/>
      <c r="G142" s="57"/>
      <c r="H142" s="320">
        <v>145</v>
      </c>
      <c r="I142" s="320">
        <f t="shared" si="24"/>
        <v>0</v>
      </c>
      <c r="J142" s="57"/>
      <c r="K142" s="334">
        <v>16</v>
      </c>
      <c r="L142" s="334">
        <f t="shared" si="25"/>
        <v>0</v>
      </c>
      <c r="M142" s="335">
        <f t="shared" si="26"/>
        <v>0</v>
      </c>
      <c r="N142" s="307">
        <f t="shared" si="16"/>
        <v>129</v>
      </c>
      <c r="O142" s="129"/>
      <c r="P142" s="73">
        <f t="shared" si="27"/>
        <v>0</v>
      </c>
      <c r="Q142" s="237">
        <f t="shared" si="28"/>
        <v>0</v>
      </c>
      <c r="R142" s="237">
        <f t="shared" si="29"/>
        <v>0</v>
      </c>
      <c r="S142" s="121"/>
      <c r="T142" s="237">
        <f t="shared" si="23"/>
        <v>0</v>
      </c>
      <c r="U142" s="121"/>
      <c r="V142" s="243">
        <f t="shared" si="20"/>
        <v>0</v>
      </c>
      <c r="Z142" s="45">
        <f t="shared" si="30"/>
        <v>0</v>
      </c>
      <c r="AA142" s="45">
        <f t="shared" si="31"/>
        <v>0</v>
      </c>
    </row>
    <row r="143" spans="1:27" x14ac:dyDescent="0.25">
      <c r="A143" s="7" t="s">
        <v>15</v>
      </c>
      <c r="B143" s="231" t="s">
        <v>244</v>
      </c>
      <c r="C143" s="232">
        <v>7</v>
      </c>
      <c r="D143" s="233" t="s">
        <v>16</v>
      </c>
      <c r="E143" s="58"/>
      <c r="F143" s="59"/>
      <c r="G143" s="59"/>
      <c r="H143" s="321">
        <v>111</v>
      </c>
      <c r="I143" s="321">
        <f t="shared" si="24"/>
        <v>0</v>
      </c>
      <c r="J143" s="59"/>
      <c r="K143" s="336">
        <v>12</v>
      </c>
      <c r="L143" s="336">
        <f t="shared" si="25"/>
        <v>0</v>
      </c>
      <c r="M143" s="337">
        <f t="shared" si="26"/>
        <v>0</v>
      </c>
      <c r="N143" s="308">
        <f t="shared" si="16"/>
        <v>99</v>
      </c>
      <c r="O143" s="130"/>
      <c r="P143" s="74">
        <f t="shared" si="27"/>
        <v>0</v>
      </c>
      <c r="Q143" s="238">
        <f t="shared" si="28"/>
        <v>0</v>
      </c>
      <c r="R143" s="238">
        <f t="shared" si="29"/>
        <v>0</v>
      </c>
      <c r="S143" s="122"/>
      <c r="T143" s="238">
        <f t="shared" si="23"/>
        <v>0</v>
      </c>
      <c r="U143" s="122"/>
      <c r="V143" s="244">
        <f t="shared" si="20"/>
        <v>0</v>
      </c>
      <c r="Z143" s="45">
        <f t="shared" si="30"/>
        <v>0</v>
      </c>
      <c r="AA143" s="45">
        <f t="shared" si="31"/>
        <v>0</v>
      </c>
    </row>
    <row r="144" spans="1:27" x14ac:dyDescent="0.25">
      <c r="A144" s="7" t="s">
        <v>15</v>
      </c>
      <c r="B144" s="231" t="s">
        <v>245</v>
      </c>
      <c r="C144" s="232">
        <v>7</v>
      </c>
      <c r="D144" s="233" t="s">
        <v>16</v>
      </c>
      <c r="E144" s="58"/>
      <c r="F144" s="59"/>
      <c r="G144" s="59"/>
      <c r="H144" s="321">
        <v>16</v>
      </c>
      <c r="I144" s="321">
        <f t="shared" si="24"/>
        <v>0</v>
      </c>
      <c r="J144" s="59"/>
      <c r="K144" s="336">
        <v>2</v>
      </c>
      <c r="L144" s="336">
        <f t="shared" si="25"/>
        <v>0</v>
      </c>
      <c r="M144" s="337">
        <f t="shared" si="26"/>
        <v>0</v>
      </c>
      <c r="N144" s="308">
        <f t="shared" si="16"/>
        <v>14</v>
      </c>
      <c r="O144" s="130"/>
      <c r="P144" s="74">
        <f t="shared" si="27"/>
        <v>0</v>
      </c>
      <c r="Q144" s="238">
        <f t="shared" si="28"/>
        <v>0</v>
      </c>
      <c r="R144" s="238">
        <f t="shared" si="29"/>
        <v>0</v>
      </c>
      <c r="S144" s="122"/>
      <c r="T144" s="238">
        <f t="shared" si="23"/>
        <v>0</v>
      </c>
      <c r="U144" s="122"/>
      <c r="V144" s="244">
        <f t="shared" si="20"/>
        <v>0</v>
      </c>
      <c r="Z144" s="45"/>
      <c r="AA144" s="45"/>
    </row>
    <row r="145" spans="1:27" x14ac:dyDescent="0.25">
      <c r="A145" s="7" t="s">
        <v>15</v>
      </c>
      <c r="B145" s="231" t="s">
        <v>244</v>
      </c>
      <c r="C145" s="232">
        <v>7</v>
      </c>
      <c r="D145" s="233" t="s">
        <v>9</v>
      </c>
      <c r="E145" s="58"/>
      <c r="F145" s="59"/>
      <c r="G145" s="59"/>
      <c r="H145" s="321">
        <v>114</v>
      </c>
      <c r="I145" s="321">
        <f t="shared" si="24"/>
        <v>0</v>
      </c>
      <c r="J145" s="59"/>
      <c r="K145" s="336">
        <v>13</v>
      </c>
      <c r="L145" s="336">
        <f t="shared" si="25"/>
        <v>0</v>
      </c>
      <c r="M145" s="337">
        <f t="shared" si="26"/>
        <v>0</v>
      </c>
      <c r="N145" s="308">
        <f t="shared" si="16"/>
        <v>101</v>
      </c>
      <c r="O145" s="130"/>
      <c r="P145" s="74">
        <f t="shared" si="27"/>
        <v>0</v>
      </c>
      <c r="Q145" s="238">
        <f t="shared" si="28"/>
        <v>0</v>
      </c>
      <c r="R145" s="238">
        <f t="shared" si="29"/>
        <v>0</v>
      </c>
      <c r="S145" s="122"/>
      <c r="T145" s="238">
        <f t="shared" si="23"/>
        <v>0</v>
      </c>
      <c r="U145" s="122"/>
      <c r="V145" s="244">
        <f t="shared" si="20"/>
        <v>0</v>
      </c>
      <c r="Z145" s="45"/>
      <c r="AA145" s="45"/>
    </row>
    <row r="146" spans="1:27" x14ac:dyDescent="0.25">
      <c r="A146" s="7" t="s">
        <v>15</v>
      </c>
      <c r="B146" s="231" t="s">
        <v>248</v>
      </c>
      <c r="C146" s="232">
        <v>7</v>
      </c>
      <c r="D146" s="233" t="s">
        <v>9</v>
      </c>
      <c r="E146" s="58"/>
      <c r="F146" s="59"/>
      <c r="G146" s="59"/>
      <c r="H146" s="321">
        <v>42</v>
      </c>
      <c r="I146" s="321">
        <f t="shared" si="24"/>
        <v>0</v>
      </c>
      <c r="J146" s="59"/>
      <c r="K146" s="336">
        <v>5</v>
      </c>
      <c r="L146" s="336">
        <f t="shared" si="25"/>
        <v>0</v>
      </c>
      <c r="M146" s="337">
        <f t="shared" si="26"/>
        <v>0</v>
      </c>
      <c r="N146" s="308">
        <f t="shared" si="16"/>
        <v>37</v>
      </c>
      <c r="O146" s="130"/>
      <c r="P146" s="74">
        <f t="shared" si="27"/>
        <v>0</v>
      </c>
      <c r="Q146" s="238">
        <f t="shared" si="28"/>
        <v>0</v>
      </c>
      <c r="R146" s="238">
        <f t="shared" si="29"/>
        <v>0</v>
      </c>
      <c r="S146" s="122"/>
      <c r="T146" s="238">
        <f t="shared" si="23"/>
        <v>0</v>
      </c>
      <c r="U146" s="122"/>
      <c r="V146" s="244">
        <f t="shared" si="20"/>
        <v>0</v>
      </c>
      <c r="Z146" s="45"/>
      <c r="AA146" s="45"/>
    </row>
    <row r="147" spans="1:27" x14ac:dyDescent="0.25">
      <c r="A147" s="7" t="s">
        <v>15</v>
      </c>
      <c r="B147" s="231" t="s">
        <v>241</v>
      </c>
      <c r="C147" s="232">
        <v>7</v>
      </c>
      <c r="D147" s="233" t="s">
        <v>16</v>
      </c>
      <c r="E147" s="58"/>
      <c r="F147" s="59"/>
      <c r="G147" s="59"/>
      <c r="H147" s="321">
        <v>158</v>
      </c>
      <c r="I147" s="321">
        <f t="shared" si="24"/>
        <v>0</v>
      </c>
      <c r="J147" s="59"/>
      <c r="K147" s="336">
        <v>17</v>
      </c>
      <c r="L147" s="336">
        <f t="shared" si="25"/>
        <v>0</v>
      </c>
      <c r="M147" s="337">
        <f t="shared" si="26"/>
        <v>0</v>
      </c>
      <c r="N147" s="308">
        <f t="shared" si="16"/>
        <v>141</v>
      </c>
      <c r="O147" s="130"/>
      <c r="P147" s="74">
        <f t="shared" si="27"/>
        <v>0</v>
      </c>
      <c r="Q147" s="238">
        <f t="shared" si="28"/>
        <v>0</v>
      </c>
      <c r="R147" s="238">
        <f t="shared" si="29"/>
        <v>0</v>
      </c>
      <c r="S147" s="122"/>
      <c r="T147" s="238">
        <f t="shared" si="23"/>
        <v>0</v>
      </c>
      <c r="U147" s="122"/>
      <c r="V147" s="244">
        <f t="shared" si="20"/>
        <v>0</v>
      </c>
      <c r="Z147" s="45"/>
      <c r="AA147" s="45"/>
    </row>
    <row r="148" spans="1:27" x14ac:dyDescent="0.25">
      <c r="A148" s="7" t="s">
        <v>15</v>
      </c>
      <c r="B148" s="231" t="s">
        <v>244</v>
      </c>
      <c r="C148" s="232">
        <v>8</v>
      </c>
      <c r="D148" s="233" t="s">
        <v>17</v>
      </c>
      <c r="E148" s="58"/>
      <c r="F148" s="59"/>
      <c r="G148" s="59"/>
      <c r="H148" s="321">
        <v>124</v>
      </c>
      <c r="I148" s="321">
        <f t="shared" si="24"/>
        <v>0</v>
      </c>
      <c r="J148" s="59"/>
      <c r="K148" s="336">
        <v>14</v>
      </c>
      <c r="L148" s="336">
        <f t="shared" si="25"/>
        <v>0</v>
      </c>
      <c r="M148" s="337">
        <f t="shared" si="26"/>
        <v>0</v>
      </c>
      <c r="N148" s="308">
        <f t="shared" si="16"/>
        <v>110</v>
      </c>
      <c r="O148" s="130"/>
      <c r="P148" s="74">
        <f t="shared" si="27"/>
        <v>0</v>
      </c>
      <c r="Q148" s="238">
        <f t="shared" si="28"/>
        <v>0</v>
      </c>
      <c r="R148" s="238">
        <f t="shared" si="29"/>
        <v>0</v>
      </c>
      <c r="S148" s="122"/>
      <c r="T148" s="238">
        <f t="shared" si="23"/>
        <v>0</v>
      </c>
      <c r="U148" s="122"/>
      <c r="V148" s="244">
        <f t="shared" si="20"/>
        <v>0</v>
      </c>
      <c r="Z148" s="45"/>
      <c r="AA148" s="45"/>
    </row>
    <row r="149" spans="1:27" x14ac:dyDescent="0.25">
      <c r="A149" s="7" t="s">
        <v>15</v>
      </c>
      <c r="B149" s="231" t="s">
        <v>245</v>
      </c>
      <c r="C149" s="232">
        <v>8</v>
      </c>
      <c r="D149" s="233" t="s">
        <v>17</v>
      </c>
      <c r="E149" s="58"/>
      <c r="F149" s="59"/>
      <c r="G149" s="59"/>
      <c r="H149" s="321">
        <v>21</v>
      </c>
      <c r="I149" s="321">
        <f t="shared" si="24"/>
        <v>0</v>
      </c>
      <c r="J149" s="59"/>
      <c r="K149" s="336">
        <v>2</v>
      </c>
      <c r="L149" s="336">
        <f t="shared" si="25"/>
        <v>0</v>
      </c>
      <c r="M149" s="337">
        <f t="shared" si="26"/>
        <v>0</v>
      </c>
      <c r="N149" s="308">
        <f t="shared" si="16"/>
        <v>19</v>
      </c>
      <c r="O149" s="130"/>
      <c r="P149" s="74">
        <f t="shared" si="27"/>
        <v>0</v>
      </c>
      <c r="Q149" s="238">
        <f t="shared" si="28"/>
        <v>0</v>
      </c>
      <c r="R149" s="238">
        <f t="shared" si="29"/>
        <v>0</v>
      </c>
      <c r="S149" s="122"/>
      <c r="T149" s="238">
        <f t="shared" si="23"/>
        <v>0</v>
      </c>
      <c r="U149" s="122"/>
      <c r="V149" s="244">
        <f t="shared" si="20"/>
        <v>0</v>
      </c>
      <c r="Z149" s="45"/>
      <c r="AA149" s="45"/>
    </row>
    <row r="150" spans="1:27" x14ac:dyDescent="0.25">
      <c r="A150" s="7" t="s">
        <v>15</v>
      </c>
      <c r="B150" s="231" t="s">
        <v>244</v>
      </c>
      <c r="C150" s="232">
        <v>8</v>
      </c>
      <c r="D150" s="233" t="s">
        <v>10</v>
      </c>
      <c r="E150" s="58"/>
      <c r="F150" s="59"/>
      <c r="G150" s="59"/>
      <c r="H150" s="321">
        <v>180</v>
      </c>
      <c r="I150" s="321">
        <f t="shared" si="24"/>
        <v>0</v>
      </c>
      <c r="J150" s="59"/>
      <c r="K150" s="336">
        <v>20</v>
      </c>
      <c r="L150" s="336">
        <f t="shared" si="25"/>
        <v>0</v>
      </c>
      <c r="M150" s="337">
        <f t="shared" si="26"/>
        <v>0</v>
      </c>
      <c r="N150" s="308">
        <f t="shared" si="16"/>
        <v>160</v>
      </c>
      <c r="O150" s="130"/>
      <c r="P150" s="74">
        <f t="shared" si="27"/>
        <v>0</v>
      </c>
      <c r="Q150" s="238">
        <f t="shared" si="28"/>
        <v>0</v>
      </c>
      <c r="R150" s="238">
        <f t="shared" si="29"/>
        <v>0</v>
      </c>
      <c r="S150" s="122"/>
      <c r="T150" s="238">
        <f t="shared" si="23"/>
        <v>0</v>
      </c>
      <c r="U150" s="122"/>
      <c r="V150" s="244">
        <f t="shared" si="20"/>
        <v>0</v>
      </c>
      <c r="Z150" s="45"/>
      <c r="AA150" s="45"/>
    </row>
    <row r="151" spans="1:27" x14ac:dyDescent="0.25">
      <c r="A151" s="7" t="s">
        <v>15</v>
      </c>
      <c r="B151" s="231" t="s">
        <v>248</v>
      </c>
      <c r="C151" s="232">
        <v>8</v>
      </c>
      <c r="D151" s="233" t="s">
        <v>10</v>
      </c>
      <c r="E151" s="58"/>
      <c r="F151" s="59"/>
      <c r="G151" s="59"/>
      <c r="H151" s="321">
        <v>50</v>
      </c>
      <c r="I151" s="321">
        <f t="shared" si="24"/>
        <v>0</v>
      </c>
      <c r="J151" s="59"/>
      <c r="K151" s="336">
        <v>6</v>
      </c>
      <c r="L151" s="336">
        <f t="shared" si="25"/>
        <v>0</v>
      </c>
      <c r="M151" s="337">
        <f t="shared" si="26"/>
        <v>0</v>
      </c>
      <c r="N151" s="308">
        <f t="shared" si="16"/>
        <v>44</v>
      </c>
      <c r="O151" s="130"/>
      <c r="P151" s="74">
        <f t="shared" si="27"/>
        <v>0</v>
      </c>
      <c r="Q151" s="238">
        <f t="shared" si="28"/>
        <v>0</v>
      </c>
      <c r="R151" s="238">
        <f t="shared" si="29"/>
        <v>0</v>
      </c>
      <c r="S151" s="122"/>
      <c r="T151" s="238">
        <f t="shared" si="23"/>
        <v>0</v>
      </c>
      <c r="U151" s="122"/>
      <c r="V151" s="244">
        <f t="shared" si="20"/>
        <v>0</v>
      </c>
      <c r="Z151" s="45">
        <f t="shared" si="30"/>
        <v>0</v>
      </c>
      <c r="AA151" s="45">
        <f t="shared" si="31"/>
        <v>0</v>
      </c>
    </row>
    <row r="152" spans="1:27" x14ac:dyDescent="0.25">
      <c r="A152" s="7" t="s">
        <v>15</v>
      </c>
      <c r="B152" s="231" t="s">
        <v>241</v>
      </c>
      <c r="C152" s="232">
        <v>8</v>
      </c>
      <c r="D152" s="233" t="s">
        <v>17</v>
      </c>
      <c r="E152" s="58"/>
      <c r="F152" s="59"/>
      <c r="G152" s="59"/>
      <c r="H152" s="321">
        <v>156</v>
      </c>
      <c r="I152" s="321">
        <f t="shared" si="24"/>
        <v>0</v>
      </c>
      <c r="J152" s="59"/>
      <c r="K152" s="336">
        <v>17</v>
      </c>
      <c r="L152" s="336">
        <f t="shared" si="25"/>
        <v>0</v>
      </c>
      <c r="M152" s="337">
        <f t="shared" si="26"/>
        <v>0</v>
      </c>
      <c r="N152" s="308">
        <f t="shared" si="16"/>
        <v>139</v>
      </c>
      <c r="O152" s="130"/>
      <c r="P152" s="74">
        <f t="shared" si="27"/>
        <v>0</v>
      </c>
      <c r="Q152" s="238">
        <f t="shared" si="28"/>
        <v>0</v>
      </c>
      <c r="R152" s="238">
        <f t="shared" si="29"/>
        <v>0</v>
      </c>
      <c r="S152" s="122"/>
      <c r="T152" s="238">
        <f t="shared" si="23"/>
        <v>0</v>
      </c>
      <c r="U152" s="122"/>
      <c r="V152" s="244">
        <f t="shared" si="20"/>
        <v>0</v>
      </c>
      <c r="Z152" s="45">
        <f t="shared" si="30"/>
        <v>0</v>
      </c>
      <c r="AA152" s="45">
        <f t="shared" si="31"/>
        <v>0</v>
      </c>
    </row>
    <row r="153" spans="1:27" x14ac:dyDescent="0.25">
      <c r="A153" s="7" t="s">
        <v>15</v>
      </c>
      <c r="B153" s="231" t="s">
        <v>244</v>
      </c>
      <c r="C153" s="232">
        <v>9</v>
      </c>
      <c r="D153" s="233" t="s">
        <v>170</v>
      </c>
      <c r="E153" s="58"/>
      <c r="F153" s="59"/>
      <c r="G153" s="59"/>
      <c r="H153" s="321">
        <v>152</v>
      </c>
      <c r="I153" s="321">
        <f t="shared" si="24"/>
        <v>0</v>
      </c>
      <c r="J153" s="59"/>
      <c r="K153" s="336">
        <v>17</v>
      </c>
      <c r="L153" s="336">
        <f t="shared" si="25"/>
        <v>0</v>
      </c>
      <c r="M153" s="337">
        <f t="shared" si="26"/>
        <v>0</v>
      </c>
      <c r="N153" s="308">
        <f t="shared" si="16"/>
        <v>135</v>
      </c>
      <c r="O153" s="130"/>
      <c r="P153" s="74">
        <f t="shared" si="27"/>
        <v>0</v>
      </c>
      <c r="Q153" s="238">
        <f t="shared" si="28"/>
        <v>0</v>
      </c>
      <c r="R153" s="238">
        <f t="shared" si="29"/>
        <v>0</v>
      </c>
      <c r="S153" s="122"/>
      <c r="T153" s="238">
        <f>S153*H153</f>
        <v>0</v>
      </c>
      <c r="U153" s="122"/>
      <c r="V153" s="244">
        <f t="shared" si="20"/>
        <v>0</v>
      </c>
      <c r="Z153" s="45">
        <f t="shared" si="30"/>
        <v>0</v>
      </c>
      <c r="AA153" s="45">
        <f t="shared" si="31"/>
        <v>0</v>
      </c>
    </row>
    <row r="154" spans="1:27" x14ac:dyDescent="0.25">
      <c r="A154" s="7" t="s">
        <v>15</v>
      </c>
      <c r="B154" s="231" t="s">
        <v>245</v>
      </c>
      <c r="C154" s="232">
        <v>9</v>
      </c>
      <c r="D154" s="233" t="s">
        <v>170</v>
      </c>
      <c r="E154" s="58"/>
      <c r="F154" s="59"/>
      <c r="G154" s="59"/>
      <c r="H154" s="321">
        <v>19</v>
      </c>
      <c r="I154" s="321">
        <f t="shared" si="24"/>
        <v>0</v>
      </c>
      <c r="J154" s="59"/>
      <c r="K154" s="336">
        <v>2</v>
      </c>
      <c r="L154" s="336">
        <f t="shared" si="25"/>
        <v>0</v>
      </c>
      <c r="M154" s="337">
        <f t="shared" si="26"/>
        <v>0</v>
      </c>
      <c r="N154" s="308">
        <f>H154-K154</f>
        <v>17</v>
      </c>
      <c r="O154" s="130"/>
      <c r="P154" s="74">
        <f t="shared" si="27"/>
        <v>0</v>
      </c>
      <c r="Q154" s="238">
        <f t="shared" si="28"/>
        <v>0</v>
      </c>
      <c r="R154" s="238">
        <f t="shared" si="29"/>
        <v>0</v>
      </c>
      <c r="S154" s="122"/>
      <c r="T154" s="238">
        <f>S154*H154</f>
        <v>0</v>
      </c>
      <c r="U154" s="122"/>
      <c r="V154" s="244">
        <f>H154*U154</f>
        <v>0</v>
      </c>
      <c r="Z154" s="45">
        <f t="shared" si="30"/>
        <v>0</v>
      </c>
      <c r="AA154" s="45">
        <f t="shared" si="31"/>
        <v>0</v>
      </c>
    </row>
    <row r="155" spans="1:27" x14ac:dyDescent="0.25">
      <c r="A155" s="7" t="s">
        <v>15</v>
      </c>
      <c r="B155" s="231" t="s">
        <v>244</v>
      </c>
      <c r="C155" s="232">
        <v>9</v>
      </c>
      <c r="D155" s="233" t="s">
        <v>165</v>
      </c>
      <c r="E155" s="58"/>
      <c r="F155" s="59"/>
      <c r="G155" s="59"/>
      <c r="H155" s="321">
        <v>170</v>
      </c>
      <c r="I155" s="321">
        <f t="shared" si="24"/>
        <v>0</v>
      </c>
      <c r="J155" s="59"/>
      <c r="K155" s="336">
        <v>19</v>
      </c>
      <c r="L155" s="336">
        <f t="shared" si="25"/>
        <v>0</v>
      </c>
      <c r="M155" s="337">
        <f t="shared" si="26"/>
        <v>0</v>
      </c>
      <c r="N155" s="308">
        <f>H155-K155</f>
        <v>151</v>
      </c>
      <c r="O155" s="130"/>
      <c r="P155" s="74">
        <f t="shared" si="27"/>
        <v>0</v>
      </c>
      <c r="Q155" s="238">
        <f t="shared" si="28"/>
        <v>0</v>
      </c>
      <c r="R155" s="238">
        <f t="shared" si="29"/>
        <v>0</v>
      </c>
      <c r="S155" s="122"/>
      <c r="T155" s="238">
        <f>S155*H155</f>
        <v>0</v>
      </c>
      <c r="U155" s="122"/>
      <c r="V155" s="244">
        <f>H155*U155</f>
        <v>0</v>
      </c>
      <c r="Z155" s="45">
        <f t="shared" si="30"/>
        <v>0</v>
      </c>
      <c r="AA155" s="45">
        <f t="shared" si="31"/>
        <v>0</v>
      </c>
    </row>
    <row r="156" spans="1:27" x14ac:dyDescent="0.25">
      <c r="A156" s="7" t="s">
        <v>15</v>
      </c>
      <c r="B156" s="231" t="s">
        <v>248</v>
      </c>
      <c r="C156" s="232">
        <v>9</v>
      </c>
      <c r="D156" s="233" t="s">
        <v>165</v>
      </c>
      <c r="E156" s="58"/>
      <c r="F156" s="59"/>
      <c r="G156" s="59"/>
      <c r="H156" s="321">
        <v>63</v>
      </c>
      <c r="I156" s="321">
        <f t="shared" si="24"/>
        <v>0</v>
      </c>
      <c r="J156" s="59"/>
      <c r="K156" s="336">
        <v>7</v>
      </c>
      <c r="L156" s="336">
        <f t="shared" si="25"/>
        <v>0</v>
      </c>
      <c r="M156" s="337">
        <f t="shared" si="26"/>
        <v>0</v>
      </c>
      <c r="N156" s="308">
        <f>H156-K156</f>
        <v>56</v>
      </c>
      <c r="O156" s="130"/>
      <c r="P156" s="74">
        <f t="shared" si="27"/>
        <v>0</v>
      </c>
      <c r="Q156" s="238">
        <f t="shared" si="28"/>
        <v>0</v>
      </c>
      <c r="R156" s="238">
        <f t="shared" si="29"/>
        <v>0</v>
      </c>
      <c r="S156" s="122"/>
      <c r="T156" s="238">
        <f>S156*H156</f>
        <v>0</v>
      </c>
      <c r="U156" s="122"/>
      <c r="V156" s="244">
        <f>H156*U156</f>
        <v>0</v>
      </c>
      <c r="Z156" s="45">
        <f t="shared" si="30"/>
        <v>0</v>
      </c>
      <c r="AA156" s="45">
        <f t="shared" si="31"/>
        <v>0</v>
      </c>
    </row>
    <row r="157" spans="1:27" ht="14.4" thickBot="1" x14ac:dyDescent="0.3">
      <c r="A157" s="7" t="s">
        <v>15</v>
      </c>
      <c r="B157" s="231" t="s">
        <v>241</v>
      </c>
      <c r="C157" s="232">
        <v>9</v>
      </c>
      <c r="D157" s="233" t="s">
        <v>170</v>
      </c>
      <c r="E157" s="58"/>
      <c r="F157" s="59"/>
      <c r="G157" s="59"/>
      <c r="H157" s="321">
        <v>167</v>
      </c>
      <c r="I157" s="321">
        <f t="shared" si="24"/>
        <v>0</v>
      </c>
      <c r="J157" s="59"/>
      <c r="K157" s="336">
        <v>18</v>
      </c>
      <c r="L157" s="336">
        <f t="shared" si="25"/>
        <v>0</v>
      </c>
      <c r="M157" s="337">
        <f t="shared" si="26"/>
        <v>0</v>
      </c>
      <c r="N157" s="308">
        <f>H157-K157</f>
        <v>149</v>
      </c>
      <c r="O157" s="131"/>
      <c r="P157" s="75">
        <f t="shared" si="27"/>
        <v>0</v>
      </c>
      <c r="Q157" s="239">
        <f t="shared" si="28"/>
        <v>0</v>
      </c>
      <c r="R157" s="239">
        <f t="shared" si="29"/>
        <v>0</v>
      </c>
      <c r="S157" s="123"/>
      <c r="T157" s="239">
        <f>S157*H157</f>
        <v>0</v>
      </c>
      <c r="U157" s="123"/>
      <c r="V157" s="245">
        <f>H157*U157</f>
        <v>0</v>
      </c>
      <c r="Z157" s="45">
        <f t="shared" si="30"/>
        <v>0</v>
      </c>
      <c r="AA157" s="45">
        <f t="shared" si="31"/>
        <v>0</v>
      </c>
    </row>
    <row r="158" spans="1:27" ht="70.3" customHeight="1" thickTop="1" thickBot="1" x14ac:dyDescent="0.3">
      <c r="A158" s="2"/>
      <c r="B158" s="5"/>
      <c r="C158" s="212"/>
      <c r="D158" s="19"/>
      <c r="E158" s="60"/>
      <c r="F158" s="61"/>
      <c r="G158" s="62"/>
      <c r="H158" s="322" t="s">
        <v>18</v>
      </c>
      <c r="I158" s="323">
        <f>SUM(I5:I157)</f>
        <v>0</v>
      </c>
      <c r="J158" s="63"/>
      <c r="K158" s="338" t="s">
        <v>19</v>
      </c>
      <c r="L158" s="339">
        <f>SUM(L5:L157)</f>
        <v>0</v>
      </c>
      <c r="M158" s="340">
        <f t="shared" si="26"/>
        <v>0</v>
      </c>
      <c r="N158" s="39"/>
      <c r="O158" s="91" t="s">
        <v>27</v>
      </c>
      <c r="P158" s="76">
        <f>SUM(P5:P157)</f>
        <v>0</v>
      </c>
      <c r="Q158" s="77" t="s">
        <v>71</v>
      </c>
      <c r="R158" s="78">
        <f>SUM(R5:R157)</f>
        <v>0</v>
      </c>
      <c r="S158" s="92" t="s">
        <v>73</v>
      </c>
      <c r="T158" s="84">
        <f>SUM(T5:T157)</f>
        <v>0</v>
      </c>
      <c r="U158" s="92" t="s">
        <v>74</v>
      </c>
      <c r="V158" s="84">
        <f>SUM(V5:V157)</f>
        <v>0</v>
      </c>
    </row>
    <row r="159" spans="1:27" ht="28.2" customHeight="1" x14ac:dyDescent="0.25">
      <c r="A159" s="132"/>
      <c r="B159" s="133"/>
      <c r="C159" s="214"/>
      <c r="D159" s="132"/>
      <c r="E159" s="134"/>
      <c r="F159" s="134"/>
      <c r="G159" s="134"/>
      <c r="H159" s="636" t="s">
        <v>87</v>
      </c>
      <c r="I159" s="636"/>
      <c r="J159" s="134"/>
      <c r="K159" s="637" t="s">
        <v>89</v>
      </c>
      <c r="L159" s="638"/>
      <c r="M159" s="134"/>
      <c r="N159" s="133"/>
      <c r="O159" s="133"/>
      <c r="P159" s="133"/>
      <c r="Q159" s="247" t="s">
        <v>28</v>
      </c>
      <c r="R159" s="248">
        <f>R158-R160</f>
        <v>0</v>
      </c>
      <c r="S159" s="133"/>
      <c r="T159" s="133"/>
      <c r="U159" s="133"/>
      <c r="V159" s="133"/>
    </row>
    <row r="160" spans="1:27" ht="25.55" customHeight="1" x14ac:dyDescent="0.25">
      <c r="A160" s="132"/>
      <c r="B160" s="133"/>
      <c r="C160" s="214"/>
      <c r="D160" s="132"/>
      <c r="E160" s="134"/>
      <c r="F160" s="134"/>
      <c r="G160" s="134"/>
      <c r="H160" s="134"/>
      <c r="I160" s="134"/>
      <c r="J160" s="134"/>
      <c r="K160" s="134"/>
      <c r="L160" s="134"/>
      <c r="M160" s="134"/>
      <c r="N160" s="133"/>
      <c r="O160" s="133"/>
      <c r="P160" s="133"/>
      <c r="Q160" s="249" t="s">
        <v>29</v>
      </c>
      <c r="R160" s="250">
        <f>SUM(R13:R19,R28:R30,R33:R34,R43:R45,R48:R49,R58:R62,R71:R75,R84:R88,R97:R100,R111:R114,R125:R128,R137:R157)</f>
        <v>0</v>
      </c>
      <c r="S160" s="133"/>
      <c r="T160" s="133"/>
      <c r="U160" s="133"/>
      <c r="V160" s="133"/>
    </row>
    <row r="161" spans="1:25" ht="11.75" customHeight="1" x14ac:dyDescent="0.25">
      <c r="A161" s="132"/>
      <c r="B161" s="133"/>
      <c r="C161" s="214"/>
      <c r="D161" s="132"/>
      <c r="E161" s="134"/>
      <c r="F161" s="134"/>
      <c r="G161" s="134"/>
      <c r="H161" s="134"/>
      <c r="I161" s="134"/>
      <c r="J161" s="134"/>
      <c r="K161" s="134"/>
      <c r="L161" s="134"/>
      <c r="M161" s="134"/>
      <c r="N161" s="133"/>
      <c r="O161" s="133"/>
      <c r="P161" s="133"/>
      <c r="Q161" s="133"/>
      <c r="R161" s="135"/>
      <c r="S161" s="133"/>
      <c r="T161" s="133"/>
      <c r="U161" s="133"/>
      <c r="V161" s="133"/>
    </row>
    <row r="162" spans="1:25" ht="24.3" customHeight="1" x14ac:dyDescent="0.25">
      <c r="A162" s="132"/>
      <c r="B162" s="133"/>
      <c r="C162" s="214"/>
      <c r="D162" s="132"/>
      <c r="E162" s="134"/>
      <c r="F162" s="134"/>
      <c r="G162" s="134"/>
      <c r="H162" s="134"/>
      <c r="I162" s="134"/>
      <c r="J162" s="134"/>
      <c r="K162" s="134"/>
      <c r="L162" s="134"/>
    </row>
    <row r="163" spans="1:25" ht="36" customHeight="1" x14ac:dyDescent="0.25">
      <c r="A163" s="132"/>
      <c r="B163" s="133"/>
      <c r="C163" s="214"/>
      <c r="D163" s="132"/>
      <c r="E163" s="650" t="s">
        <v>76</v>
      </c>
      <c r="F163" s="652" t="s">
        <v>75</v>
      </c>
      <c r="G163" s="654" t="s">
        <v>95</v>
      </c>
      <c r="H163" s="655"/>
      <c r="I163" s="632" t="s">
        <v>124</v>
      </c>
      <c r="J163" s="644" t="s">
        <v>168</v>
      </c>
      <c r="K163" s="645"/>
      <c r="L163" s="642" t="s">
        <v>83</v>
      </c>
      <c r="M163" s="646" t="s">
        <v>98</v>
      </c>
      <c r="N163" s="646"/>
      <c r="O163" s="646"/>
    </row>
    <row r="164" spans="1:25" ht="15.05" customHeight="1" x14ac:dyDescent="0.25">
      <c r="A164" s="132"/>
      <c r="B164" s="133"/>
      <c r="C164" s="214"/>
      <c r="D164" s="132"/>
      <c r="E164" s="651"/>
      <c r="F164" s="653"/>
      <c r="G164" s="152" t="s">
        <v>88</v>
      </c>
      <c r="H164" s="167" t="s">
        <v>82</v>
      </c>
      <c r="I164" s="633"/>
      <c r="J164" s="153" t="s">
        <v>88</v>
      </c>
      <c r="K164" s="168" t="s">
        <v>97</v>
      </c>
      <c r="L164" s="643"/>
      <c r="M164" s="145" t="s">
        <v>96</v>
      </c>
      <c r="N164" s="150" t="s">
        <v>122</v>
      </c>
      <c r="O164" s="164" t="s">
        <v>123</v>
      </c>
    </row>
    <row r="165" spans="1:25" ht="15.05" customHeight="1" x14ac:dyDescent="0.25">
      <c r="A165" s="132"/>
      <c r="B165" s="133"/>
      <c r="C165" s="214"/>
      <c r="D165" s="132"/>
      <c r="E165" s="94" t="s">
        <v>125</v>
      </c>
      <c r="F165" s="95" t="s">
        <v>64</v>
      </c>
      <c r="G165" s="155">
        <f>SUM(Z5:Z49)</f>
        <v>0</v>
      </c>
      <c r="H165" s="159">
        <f>SUM(P5:P49)</f>
        <v>0</v>
      </c>
      <c r="I165" s="182">
        <f t="shared" ref="I165:I170" si="35">G165+H165</f>
        <v>0</v>
      </c>
      <c r="J165" s="155">
        <f>SUM(AA5:AA49)</f>
        <v>0</v>
      </c>
      <c r="K165" s="176">
        <f t="shared" ref="K165:K170" si="36">SUM(M165:O165)</f>
        <v>0</v>
      </c>
      <c r="L165" s="187">
        <f t="shared" ref="L165:L170" si="37">K165+J165</f>
        <v>0</v>
      </c>
      <c r="M165" s="97">
        <f>SUM(R5:R49)</f>
        <v>0</v>
      </c>
      <c r="N165" s="98">
        <f>SUM(T5:T49)</f>
        <v>0</v>
      </c>
      <c r="O165" s="155">
        <f>SUM(V5:V49)</f>
        <v>0</v>
      </c>
    </row>
    <row r="166" spans="1:25" ht="15.05" customHeight="1" x14ac:dyDescent="0.25">
      <c r="A166" s="132"/>
      <c r="B166" s="133"/>
      <c r="C166" s="214"/>
      <c r="D166" s="132"/>
      <c r="E166" s="99" t="s">
        <v>126</v>
      </c>
      <c r="F166" s="100" t="s">
        <v>65</v>
      </c>
      <c r="G166" s="156">
        <f>SUM(Z50:Z88)</f>
        <v>0</v>
      </c>
      <c r="H166" s="160">
        <f>SUM(P50:P88)</f>
        <v>0</v>
      </c>
      <c r="I166" s="183">
        <f t="shared" si="35"/>
        <v>0</v>
      </c>
      <c r="J166" s="156">
        <f>SUM(AA50:AA88)</f>
        <v>0</v>
      </c>
      <c r="K166" s="177">
        <f t="shared" si="36"/>
        <v>0</v>
      </c>
      <c r="L166" s="188">
        <f t="shared" si="37"/>
        <v>0</v>
      </c>
      <c r="M166" s="101">
        <f>SUM(R50:R88)</f>
        <v>0</v>
      </c>
      <c r="N166" s="146">
        <f>SUM(T50:T88)</f>
        <v>0</v>
      </c>
      <c r="O166" s="156">
        <f>SUM(V50:V88)</f>
        <v>0</v>
      </c>
    </row>
    <row r="167" spans="1:25" ht="15.05" customHeight="1" x14ac:dyDescent="0.25">
      <c r="A167" s="132"/>
      <c r="B167" s="133"/>
      <c r="C167" s="214"/>
      <c r="D167" s="132"/>
      <c r="E167" s="105" t="s">
        <v>128</v>
      </c>
      <c r="F167" s="106" t="s">
        <v>68</v>
      </c>
      <c r="G167" s="96">
        <f>SUM(Z89:Z130)</f>
        <v>0</v>
      </c>
      <c r="H167" s="107">
        <f>SUM(P89:P130)</f>
        <v>0</v>
      </c>
      <c r="I167" s="182">
        <f>G167+H167</f>
        <v>0</v>
      </c>
      <c r="J167" s="96">
        <f>SUM(AA89:AA130)</f>
        <v>0</v>
      </c>
      <c r="K167" s="177">
        <f>SUM(M167:O167)</f>
        <v>0</v>
      </c>
      <c r="L167" s="187">
        <f>K167+J167</f>
        <v>0</v>
      </c>
      <c r="M167" s="108">
        <f>SUM(R89:R130)</f>
        <v>0</v>
      </c>
      <c r="N167" s="109">
        <f>SUM(T89:T130)</f>
        <v>0</v>
      </c>
      <c r="O167" s="109">
        <f>SUM(V89:V130)</f>
        <v>0</v>
      </c>
    </row>
    <row r="168" spans="1:25" ht="15.05" customHeight="1" x14ac:dyDescent="0.25">
      <c r="A168" s="132"/>
      <c r="B168" s="133"/>
      <c r="C168" s="214"/>
      <c r="D168" s="132"/>
      <c r="E168" s="102" t="s">
        <v>127</v>
      </c>
      <c r="F168" s="103" t="s">
        <v>66</v>
      </c>
      <c r="G168" s="157">
        <f>SUM(Z131:Z136)</f>
        <v>0</v>
      </c>
      <c r="H168" s="161">
        <f>SUM(P131:P136)</f>
        <v>0</v>
      </c>
      <c r="I168" s="184">
        <f t="shared" si="35"/>
        <v>0</v>
      </c>
      <c r="J168" s="157">
        <f>SUM(AA131:AA136)</f>
        <v>0</v>
      </c>
      <c r="K168" s="177">
        <f t="shared" si="36"/>
        <v>0</v>
      </c>
      <c r="L168" s="189">
        <f t="shared" si="37"/>
        <v>0</v>
      </c>
      <c r="M168" s="104">
        <f>SUM(R131:R136)</f>
        <v>0</v>
      </c>
      <c r="N168" s="147">
        <f>SUM(T131:T136)</f>
        <v>0</v>
      </c>
      <c r="O168" s="157">
        <f>SUM(V131:V136)</f>
        <v>0</v>
      </c>
    </row>
    <row r="169" spans="1:25" ht="15.05" customHeight="1" x14ac:dyDescent="0.25">
      <c r="A169" s="132"/>
      <c r="B169" s="133"/>
      <c r="C169" s="214"/>
      <c r="D169" s="132"/>
      <c r="E169" s="113" t="s">
        <v>171</v>
      </c>
      <c r="F169" s="114" t="s">
        <v>69</v>
      </c>
      <c r="G169" s="154">
        <f>SUM(Z137:Z142)</f>
        <v>0</v>
      </c>
      <c r="H169" s="163">
        <f>SUM(P137:P142)</f>
        <v>0</v>
      </c>
      <c r="I169" s="186">
        <f>G169+H169</f>
        <v>0</v>
      </c>
      <c r="J169" s="154">
        <f>SUM(AA137:AA142)</f>
        <v>0</v>
      </c>
      <c r="K169" s="177">
        <f>SUM(M169:O169)</f>
        <v>0</v>
      </c>
      <c r="L169" s="191">
        <f>K169+J169</f>
        <v>0</v>
      </c>
      <c r="M169" s="115">
        <f>SUM(R137:R142)</f>
        <v>0</v>
      </c>
      <c r="N169" s="149">
        <f>SUM(T137:T142)</f>
        <v>0</v>
      </c>
      <c r="O169" s="154">
        <f>SUM(V137:V142)</f>
        <v>0</v>
      </c>
    </row>
    <row r="170" spans="1:25" ht="15.05" customHeight="1" x14ac:dyDescent="0.25">
      <c r="A170" s="132"/>
      <c r="B170" s="133"/>
      <c r="C170" s="214"/>
      <c r="D170" s="132"/>
      <c r="E170" s="110" t="s">
        <v>172</v>
      </c>
      <c r="F170" s="111" t="s">
        <v>67</v>
      </c>
      <c r="G170" s="158">
        <f>SUM(Z143:Z157)</f>
        <v>0</v>
      </c>
      <c r="H170" s="162">
        <f>SUM(P143:P157)</f>
        <v>0</v>
      </c>
      <c r="I170" s="185">
        <f t="shared" si="35"/>
        <v>0</v>
      </c>
      <c r="J170" s="158">
        <f>SUM(AA143:AA157)</f>
        <v>0</v>
      </c>
      <c r="K170" s="177">
        <f t="shared" si="36"/>
        <v>0</v>
      </c>
      <c r="L170" s="190">
        <f t="shared" si="37"/>
        <v>0</v>
      </c>
      <c r="M170" s="112">
        <f>SUM(R143:R157)</f>
        <v>0</v>
      </c>
      <c r="N170" s="148">
        <f>SUM(T143:T157)</f>
        <v>0</v>
      </c>
      <c r="O170" s="158">
        <f>SUM(V143:V157)</f>
        <v>0</v>
      </c>
    </row>
    <row r="171" spans="1:25" ht="29" customHeight="1" x14ac:dyDescent="0.25">
      <c r="A171" s="132"/>
      <c r="B171" s="133"/>
      <c r="C171" s="214"/>
      <c r="D171" s="132"/>
      <c r="E171" s="136"/>
      <c r="F171" s="93" t="s">
        <v>77</v>
      </c>
      <c r="G171" s="96">
        <f t="shared" ref="G171:O171" si="38">SUM(G165:G170)</f>
        <v>0</v>
      </c>
      <c r="H171" s="96">
        <f t="shared" si="38"/>
        <v>0</v>
      </c>
      <c r="I171" s="175">
        <f t="shared" si="38"/>
        <v>0</v>
      </c>
      <c r="J171" s="96">
        <f t="shared" si="38"/>
        <v>0</v>
      </c>
      <c r="K171" s="173">
        <f t="shared" si="38"/>
        <v>0</v>
      </c>
      <c r="L171" s="174">
        <f t="shared" si="38"/>
        <v>0</v>
      </c>
      <c r="M171" s="151">
        <f t="shared" si="38"/>
        <v>0</v>
      </c>
      <c r="N171" s="137">
        <f t="shared" si="38"/>
        <v>0</v>
      </c>
      <c r="O171" s="96">
        <f t="shared" si="38"/>
        <v>0</v>
      </c>
      <c r="R171" s="133"/>
      <c r="S171" s="133"/>
      <c r="T171" s="133"/>
      <c r="U171" s="133"/>
      <c r="V171" s="133"/>
      <c r="W171" s="246"/>
      <c r="X171" s="133"/>
      <c r="Y171" s="133"/>
    </row>
    <row r="172" spans="1:25" x14ac:dyDescent="0.25">
      <c r="A172" s="132"/>
      <c r="B172" s="133"/>
      <c r="C172" s="214"/>
      <c r="D172" s="132"/>
      <c r="E172" s="134"/>
      <c r="F172" s="134"/>
      <c r="G172" s="134"/>
      <c r="H172" s="134"/>
      <c r="I172" s="134"/>
      <c r="J172" s="134"/>
      <c r="K172" s="134"/>
      <c r="L172" s="134"/>
      <c r="M172" s="134"/>
      <c r="N172" s="133"/>
      <c r="O172" s="133"/>
      <c r="P172" s="133"/>
      <c r="Q172" s="133"/>
      <c r="R172" s="133"/>
      <c r="S172" s="133"/>
      <c r="T172" s="133"/>
      <c r="U172" s="133"/>
      <c r="V172" s="133"/>
      <c r="W172" s="246"/>
      <c r="X172" s="133"/>
      <c r="Y172" s="133"/>
    </row>
    <row r="173" spans="1:25" x14ac:dyDescent="0.25">
      <c r="A173" s="132"/>
      <c r="B173" s="133"/>
      <c r="C173" s="214"/>
      <c r="D173" s="132"/>
      <c r="E173" s="134"/>
      <c r="F173" s="134"/>
      <c r="G173" s="134"/>
      <c r="H173" s="134"/>
      <c r="I173" s="134"/>
      <c r="J173" s="134"/>
      <c r="K173" s="134"/>
      <c r="L173" s="134"/>
      <c r="M173" s="134"/>
      <c r="N173" s="133"/>
      <c r="O173" s="133"/>
      <c r="P173" s="133"/>
      <c r="Q173" s="133"/>
      <c r="R173" s="133"/>
      <c r="S173" s="133"/>
      <c r="T173" s="133"/>
      <c r="U173" s="133"/>
      <c r="V173" s="133"/>
      <c r="W173" s="246"/>
      <c r="X173" s="133"/>
      <c r="Y173" s="133"/>
    </row>
    <row r="174" spans="1:25" x14ac:dyDescent="0.25">
      <c r="A174" s="132"/>
      <c r="B174" s="133"/>
      <c r="C174" s="214"/>
      <c r="D174" s="132"/>
      <c r="E174" s="134"/>
      <c r="F174" s="134"/>
      <c r="G174" s="134"/>
      <c r="H174" s="134"/>
      <c r="I174" s="134"/>
      <c r="J174" s="134"/>
      <c r="K174" s="134"/>
      <c r="L174" s="134"/>
      <c r="M174" s="134"/>
      <c r="N174" s="133"/>
      <c r="O174" s="133"/>
      <c r="P174" s="133"/>
      <c r="Q174" s="133"/>
      <c r="R174" s="133"/>
      <c r="S174" s="133"/>
      <c r="T174" s="133"/>
      <c r="U174" s="133"/>
      <c r="V174" s="133"/>
      <c r="W174" s="246"/>
      <c r="X174" s="133"/>
      <c r="Y174" s="133"/>
    </row>
    <row r="175" spans="1:25" x14ac:dyDescent="0.25">
      <c r="A175" s="132"/>
      <c r="B175" s="133"/>
      <c r="C175" s="214"/>
      <c r="D175" s="132"/>
      <c r="E175" s="134"/>
      <c r="F175" s="134"/>
      <c r="G175" s="134"/>
      <c r="H175" s="134"/>
      <c r="I175" s="134"/>
      <c r="J175" s="134"/>
      <c r="K175" s="134"/>
      <c r="L175" s="134"/>
      <c r="M175" s="134"/>
      <c r="N175" s="133"/>
      <c r="O175" s="133"/>
      <c r="P175" s="133"/>
      <c r="Q175" s="133"/>
      <c r="R175" s="133"/>
      <c r="S175" s="133"/>
      <c r="T175" s="133"/>
      <c r="U175" s="133"/>
      <c r="V175" s="133"/>
      <c r="W175" s="246"/>
      <c r="X175" s="133"/>
      <c r="Y175" s="133"/>
    </row>
    <row r="176" spans="1:25" x14ac:dyDescent="0.25">
      <c r="A176" s="132"/>
      <c r="B176" s="133"/>
      <c r="C176" s="214"/>
      <c r="D176" s="132"/>
      <c r="E176" s="134"/>
      <c r="F176" s="134"/>
      <c r="G176" s="134"/>
      <c r="H176" s="134"/>
      <c r="I176" s="134"/>
      <c r="J176" s="134"/>
      <c r="K176" s="134"/>
      <c r="L176" s="134"/>
      <c r="M176" s="134"/>
      <c r="N176" s="133"/>
      <c r="O176" s="133"/>
      <c r="P176" s="133"/>
      <c r="Q176" s="133"/>
      <c r="R176" s="133"/>
      <c r="S176" s="133"/>
      <c r="T176" s="133"/>
      <c r="U176" s="133"/>
      <c r="V176" s="133"/>
      <c r="W176" s="246"/>
      <c r="X176" s="133"/>
      <c r="Y176" s="133"/>
    </row>
    <row r="177" spans="1:25" x14ac:dyDescent="0.25">
      <c r="A177" s="132"/>
      <c r="B177" s="133"/>
      <c r="C177" s="214"/>
      <c r="D177" s="132"/>
      <c r="E177" s="134"/>
      <c r="F177" s="134"/>
      <c r="G177" s="134"/>
      <c r="H177" s="134"/>
      <c r="I177" s="134"/>
      <c r="J177" s="134"/>
      <c r="K177" s="134"/>
      <c r="L177" s="134"/>
      <c r="M177" s="134"/>
      <c r="N177" s="133"/>
      <c r="O177" s="133"/>
      <c r="P177" s="133"/>
      <c r="Q177" s="133"/>
      <c r="R177" s="133"/>
      <c r="S177" s="133"/>
      <c r="T177" s="133"/>
      <c r="U177" s="133"/>
      <c r="V177" s="133"/>
      <c r="W177" s="246"/>
      <c r="X177" s="133"/>
      <c r="Y177" s="133"/>
    </row>
    <row r="178" spans="1:25" x14ac:dyDescent="0.25">
      <c r="A178" s="132"/>
      <c r="B178" s="133"/>
      <c r="C178" s="214"/>
      <c r="D178" s="132"/>
      <c r="E178" s="134"/>
      <c r="F178" s="134"/>
      <c r="G178" s="134"/>
      <c r="H178" s="134"/>
      <c r="I178" s="134"/>
      <c r="J178" s="134"/>
      <c r="K178" s="134"/>
      <c r="L178" s="134"/>
      <c r="M178" s="134"/>
      <c r="N178" s="133"/>
      <c r="O178" s="133"/>
      <c r="P178" s="133"/>
      <c r="Q178" s="133"/>
      <c r="R178" s="133"/>
      <c r="S178" s="133"/>
      <c r="T178" s="133"/>
      <c r="U178" s="133"/>
      <c r="V178" s="133"/>
      <c r="W178" s="246"/>
      <c r="X178" s="133"/>
      <c r="Y178" s="133"/>
    </row>
    <row r="179" spans="1:25" x14ac:dyDescent="0.25">
      <c r="A179" s="132"/>
      <c r="B179" s="133"/>
      <c r="C179" s="214"/>
      <c r="D179" s="132"/>
      <c r="E179" s="134"/>
      <c r="F179" s="134"/>
      <c r="G179" s="134"/>
      <c r="H179" s="134"/>
      <c r="I179" s="134"/>
      <c r="J179" s="134"/>
      <c r="K179" s="134"/>
      <c r="L179" s="134"/>
      <c r="M179" s="134"/>
      <c r="N179" s="133"/>
      <c r="O179" s="133"/>
      <c r="P179" s="133"/>
      <c r="Q179" s="133"/>
      <c r="R179" s="133"/>
      <c r="S179" s="133"/>
      <c r="T179" s="133"/>
      <c r="U179" s="133"/>
      <c r="V179" s="133"/>
      <c r="W179" s="246"/>
      <c r="X179" s="133"/>
      <c r="Y179" s="133"/>
    </row>
    <row r="180" spans="1:25" x14ac:dyDescent="0.25">
      <c r="A180" s="132"/>
      <c r="B180" s="133"/>
      <c r="C180" s="214"/>
      <c r="D180" s="132"/>
      <c r="E180" s="134"/>
      <c r="F180" s="134"/>
      <c r="G180" s="134"/>
      <c r="H180" s="134"/>
      <c r="I180" s="134"/>
      <c r="J180" s="134"/>
      <c r="K180" s="134"/>
      <c r="L180" s="134"/>
      <c r="M180" s="134"/>
      <c r="N180" s="133"/>
      <c r="O180" s="133"/>
      <c r="P180" s="133"/>
      <c r="Q180" s="133"/>
      <c r="R180" s="133"/>
      <c r="S180" s="133"/>
      <c r="T180" s="133"/>
      <c r="U180" s="133"/>
      <c r="V180" s="133"/>
      <c r="W180" s="246"/>
      <c r="X180" s="133"/>
      <c r="Y180" s="133"/>
    </row>
    <row r="181" spans="1:25" x14ac:dyDescent="0.25">
      <c r="A181" s="132"/>
      <c r="B181" s="133"/>
      <c r="C181" s="214"/>
      <c r="D181" s="132"/>
      <c r="E181" s="134"/>
      <c r="F181" s="134"/>
      <c r="G181" s="134"/>
      <c r="H181" s="134"/>
      <c r="I181" s="134"/>
      <c r="J181" s="134"/>
      <c r="K181" s="134"/>
      <c r="L181" s="134"/>
      <c r="M181" s="134"/>
      <c r="N181" s="133"/>
      <c r="O181" s="133"/>
      <c r="P181" s="133"/>
      <c r="Q181" s="133"/>
      <c r="R181" s="133"/>
      <c r="S181" s="133"/>
      <c r="T181" s="133"/>
      <c r="U181" s="133"/>
      <c r="V181" s="133"/>
      <c r="W181" s="246"/>
      <c r="X181" s="133"/>
      <c r="Y181" s="133"/>
    </row>
    <row r="182" spans="1:25" x14ac:dyDescent="0.25">
      <c r="A182" s="132"/>
      <c r="B182" s="133"/>
      <c r="C182" s="214"/>
      <c r="D182" s="132"/>
      <c r="E182" s="134"/>
      <c r="F182" s="134"/>
      <c r="G182" s="134"/>
      <c r="H182" s="134"/>
      <c r="I182" s="134"/>
      <c r="J182" s="134"/>
      <c r="K182" s="134"/>
      <c r="L182" s="134"/>
      <c r="M182" s="134"/>
      <c r="N182" s="133"/>
      <c r="O182" s="133"/>
      <c r="P182" s="133"/>
      <c r="Q182" s="133"/>
      <c r="R182" s="133"/>
      <c r="S182" s="133"/>
      <c r="T182" s="133"/>
      <c r="U182" s="133"/>
      <c r="V182" s="133"/>
      <c r="W182" s="246"/>
      <c r="X182" s="133"/>
      <c r="Y182" s="133"/>
    </row>
    <row r="183" spans="1:25" x14ac:dyDescent="0.25">
      <c r="A183" s="132"/>
      <c r="B183" s="133"/>
      <c r="C183" s="214"/>
      <c r="D183" s="132"/>
      <c r="E183" s="134"/>
      <c r="F183" s="134"/>
      <c r="G183" s="134"/>
      <c r="H183" s="134"/>
      <c r="I183" s="134"/>
      <c r="J183" s="134"/>
      <c r="K183" s="134"/>
      <c r="L183" s="134"/>
      <c r="M183" s="134"/>
      <c r="N183" s="133"/>
      <c r="O183" s="133"/>
      <c r="P183" s="133"/>
      <c r="Q183" s="133"/>
      <c r="R183" s="133"/>
      <c r="S183" s="133"/>
      <c r="T183" s="133"/>
      <c r="U183" s="133"/>
      <c r="V183" s="133"/>
      <c r="W183" s="246"/>
      <c r="X183" s="133"/>
      <c r="Y183" s="133"/>
    </row>
    <row r="184" spans="1:25" x14ac:dyDescent="0.25">
      <c r="A184" s="132"/>
      <c r="B184" s="133"/>
      <c r="C184" s="214"/>
      <c r="D184" s="132"/>
      <c r="E184" s="134"/>
      <c r="F184" s="134"/>
      <c r="G184" s="134"/>
      <c r="H184" s="134"/>
      <c r="I184" s="134"/>
      <c r="J184" s="134"/>
      <c r="K184" s="134"/>
      <c r="L184" s="134"/>
      <c r="M184" s="134"/>
      <c r="N184" s="133"/>
      <c r="O184" s="133"/>
      <c r="P184" s="133"/>
      <c r="Q184" s="133"/>
      <c r="R184" s="133"/>
      <c r="S184" s="133"/>
      <c r="T184" s="133"/>
      <c r="U184" s="133"/>
      <c r="V184" s="133"/>
      <c r="W184" s="246"/>
      <c r="X184" s="133"/>
      <c r="Y184" s="133"/>
    </row>
    <row r="185" spans="1:25" x14ac:dyDescent="0.25">
      <c r="A185" s="132"/>
      <c r="B185" s="133"/>
      <c r="C185" s="214"/>
      <c r="D185" s="132"/>
      <c r="E185" s="134"/>
      <c r="F185" s="134"/>
      <c r="G185" s="134"/>
      <c r="H185" s="134"/>
      <c r="I185" s="134"/>
      <c r="J185" s="134"/>
      <c r="K185" s="134"/>
      <c r="L185" s="134"/>
      <c r="M185" s="134"/>
      <c r="N185" s="133"/>
      <c r="O185" s="133"/>
      <c r="P185" s="133"/>
      <c r="Q185" s="133"/>
      <c r="R185" s="133"/>
      <c r="S185" s="133"/>
      <c r="T185" s="133"/>
      <c r="U185" s="133"/>
      <c r="V185" s="133"/>
      <c r="W185" s="246"/>
      <c r="X185" s="133"/>
      <c r="Y185" s="133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autoFilter ref="A4:V160"/>
  <mergeCells count="16">
    <mergeCell ref="A2:B3"/>
    <mergeCell ref="A1:B1"/>
    <mergeCell ref="I163:I164"/>
    <mergeCell ref="S1:V1"/>
    <mergeCell ref="H159:I159"/>
    <mergeCell ref="K159:L159"/>
    <mergeCell ref="J1:L1"/>
    <mergeCell ref="O1:P1"/>
    <mergeCell ref="L163:L164"/>
    <mergeCell ref="J163:K163"/>
    <mergeCell ref="M163:O163"/>
    <mergeCell ref="Q1:R1"/>
    <mergeCell ref="E1:I1"/>
    <mergeCell ref="E163:E164"/>
    <mergeCell ref="F163:F164"/>
    <mergeCell ref="G163:H163"/>
  </mergeCells>
  <phoneticPr fontId="3" type="noConversion"/>
  <printOptions horizontalCentered="1"/>
  <pageMargins left="0.31496062992125984" right="0.31496062992125984" top="0.59055118110236227" bottom="0.70866141732283472" header="0.59055118110236227" footer="0.39370078740157483"/>
  <pageSetup paperSize="9" scale="80" orientation="portrait" r:id="rId1"/>
  <headerFooter scaleWithDoc="0" alignWithMargins="0">
    <oddFooter xml:space="preserve">&amp;L&amp;"細明體,標準"　　　承辦
　　　科室&amp;C&amp;"細明體,標準"主(會)計　　　　　　　　　　機關
單位　　　　　　　　　　　　首長&amp;R&amp;"細明體,標準"第&amp;P頁，共&amp;N頁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8" x14ac:dyDescent="0.25"/>
  <cols>
    <col min="1" max="2" width="40.375" bestFit="1" customWidth="1"/>
  </cols>
  <sheetData>
    <row r="1" spans="1:2" x14ac:dyDescent="0.25">
      <c r="A1" t="s">
        <v>20</v>
      </c>
      <c r="B1" t="s">
        <v>21</v>
      </c>
    </row>
    <row r="2" spans="1:2" x14ac:dyDescent="0.25">
      <c r="A2" t="s">
        <v>22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統計表</vt:lpstr>
      <vt:lpstr>花東B表</vt:lpstr>
      <vt:lpstr>工作表3</vt:lpstr>
      <vt:lpstr>單價表</vt:lpstr>
      <vt:lpstr>試算表(參考用)</vt:lpstr>
      <vt:lpstr>抬頭</vt:lpstr>
      <vt:lpstr>統計表!Print_Area</vt:lpstr>
      <vt:lpstr>'試算表(參考用)'!Print_Titles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2022-08-29T01:17:52Z</cp:lastPrinted>
  <dcterms:created xsi:type="dcterms:W3CDTF">2021-09-06T06:24:56Z</dcterms:created>
  <dcterms:modified xsi:type="dcterms:W3CDTF">2022-08-29T08:22:42Z</dcterms:modified>
</cp:coreProperties>
</file>