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施展教育處資料\03-教科書\01教科書補助(含花東)\113\113-1填報AB表\"/>
    </mc:Choice>
  </mc:AlternateContent>
  <xr:revisionPtr revIDLastSave="0" documentId="13_ncr:1_{BBEDE422-F0A7-462E-BCB4-22EB741D6AD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統計表 " sheetId="13" state="hidden" r:id="rId1"/>
    <sheet name="汰換年相反" sheetId="14" r:id="rId2"/>
    <sheet name="花東B表" sheetId="12" r:id="rId3"/>
    <sheet name="單價表" sheetId="11" r:id="rId4"/>
    <sheet name="工作表2" sheetId="7" state="hidden" r:id="rId5"/>
    <sheet name="抬頭" sheetId="2" state="hidden" r:id="rId6"/>
  </sheets>
  <definedNames>
    <definedName name="_xlnm._FilterDatabase" localSheetId="3" hidden="1">單價表!$A$3:$Q$89</definedName>
    <definedName name="_xlnm.Print_Area" localSheetId="1">汰換年相反!$A$4:$S$53</definedName>
    <definedName name="_xlnm.Print_Area" localSheetId="0">'統計表 '!$A$4:$T$34</definedName>
    <definedName name="版本">工作表2!$A$5:$A$9</definedName>
    <definedName name="英語">工作表2!$A$15:$A$19</definedName>
    <definedName name="藝能科教科書">#REF!,#REF!,#REF!,#REF!,#REF!,#REF!,#REF!,#REF!,#REF!,#REF!,#REF!,#REF!,#REF!,#REF!,#REF!,#REF!,#REF!,#REF!,#REF!,#REF!,#REF!,#REF!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4" l="1"/>
  <c r="AG23" i="14" l="1"/>
  <c r="K8" i="14"/>
  <c r="K7" i="14"/>
  <c r="N111" i="14"/>
  <c r="N112" i="14" l="1"/>
  <c r="N18" i="14"/>
  <c r="O18" i="14"/>
  <c r="O20" i="14"/>
  <c r="N20" i="14"/>
  <c r="O22" i="14"/>
  <c r="N22" i="14"/>
  <c r="O24" i="14"/>
  <c r="N24" i="14"/>
  <c r="N109" i="14" l="1"/>
  <c r="N110" i="14" s="1"/>
  <c r="F93" i="14"/>
  <c r="G93" i="14"/>
  <c r="H93" i="14"/>
  <c r="I93" i="14"/>
  <c r="J93" i="14"/>
  <c r="K93" i="14"/>
  <c r="L93" i="14"/>
  <c r="M93" i="14"/>
  <c r="N93" i="14"/>
  <c r="O93" i="14"/>
  <c r="P93" i="14"/>
  <c r="Q93" i="14"/>
  <c r="E93" i="14"/>
  <c r="F87" i="14"/>
  <c r="G87" i="14"/>
  <c r="H87" i="14"/>
  <c r="I87" i="14"/>
  <c r="J87" i="14"/>
  <c r="K87" i="14"/>
  <c r="L87" i="14"/>
  <c r="M87" i="14"/>
  <c r="N87" i="14"/>
  <c r="O87" i="14"/>
  <c r="P87" i="14"/>
  <c r="Q87" i="14"/>
  <c r="E87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E81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E75" i="14"/>
  <c r="O69" i="14"/>
  <c r="D69" i="14"/>
  <c r="E69" i="14"/>
  <c r="F69" i="14"/>
  <c r="G69" i="14"/>
  <c r="H69" i="14"/>
  <c r="C69" i="14"/>
  <c r="O63" i="14"/>
  <c r="D63" i="14"/>
  <c r="E63" i="14"/>
  <c r="F63" i="14"/>
  <c r="G63" i="14"/>
  <c r="H63" i="14"/>
  <c r="G77" i="13" l="1"/>
  <c r="H77" i="13"/>
  <c r="I77" i="13"/>
  <c r="J77" i="13"/>
  <c r="K77" i="13"/>
  <c r="L77" i="13"/>
  <c r="M77" i="13"/>
  <c r="N77" i="13"/>
  <c r="O77" i="13"/>
  <c r="P77" i="13"/>
  <c r="Q77" i="13"/>
  <c r="F77" i="13"/>
  <c r="E77" i="13"/>
  <c r="G71" i="13"/>
  <c r="H71" i="13"/>
  <c r="I71" i="13"/>
  <c r="J71" i="13"/>
  <c r="K71" i="13"/>
  <c r="L71" i="13"/>
  <c r="M71" i="13"/>
  <c r="N71" i="13"/>
  <c r="O71" i="13"/>
  <c r="P71" i="13"/>
  <c r="Q71" i="13"/>
  <c r="F71" i="13"/>
  <c r="E71" i="13"/>
  <c r="L65" i="13"/>
  <c r="G65" i="13"/>
  <c r="H65" i="13"/>
  <c r="I65" i="13"/>
  <c r="J65" i="13"/>
  <c r="K65" i="13"/>
  <c r="M65" i="13"/>
  <c r="N65" i="13"/>
  <c r="O65" i="13"/>
  <c r="P65" i="13"/>
  <c r="Q65" i="13"/>
  <c r="F65" i="13"/>
  <c r="E65" i="13"/>
  <c r="J59" i="13"/>
  <c r="G59" i="13"/>
  <c r="H59" i="13"/>
  <c r="I59" i="13"/>
  <c r="K59" i="13"/>
  <c r="L59" i="13"/>
  <c r="M59" i="13"/>
  <c r="N59" i="13"/>
  <c r="O59" i="13"/>
  <c r="P59" i="13"/>
  <c r="Q59" i="13"/>
  <c r="F59" i="13"/>
  <c r="E59" i="13"/>
  <c r="O53" i="13"/>
  <c r="E53" i="13"/>
  <c r="F53" i="13"/>
  <c r="G53" i="13"/>
  <c r="H53" i="13"/>
  <c r="D53" i="13"/>
  <c r="C53" i="13"/>
  <c r="O47" i="13"/>
  <c r="D47" i="13"/>
  <c r="E47" i="13"/>
  <c r="F47" i="13"/>
  <c r="G47" i="13"/>
  <c r="H47" i="13"/>
  <c r="C47" i="13"/>
  <c r="E37" i="14"/>
  <c r="D37" i="14"/>
  <c r="M18" i="14"/>
  <c r="L18" i="14"/>
  <c r="K18" i="14"/>
  <c r="J18" i="14"/>
  <c r="I18" i="14"/>
  <c r="H18" i="14"/>
  <c r="G18" i="14"/>
  <c r="F18" i="14"/>
  <c r="I16" i="14"/>
  <c r="H16" i="14"/>
  <c r="G16" i="14"/>
  <c r="F16" i="14"/>
  <c r="E16" i="14"/>
  <c r="D16" i="14"/>
  <c r="I14" i="14"/>
  <c r="H14" i="14"/>
  <c r="G14" i="14"/>
  <c r="F14" i="14"/>
  <c r="E14" i="14"/>
  <c r="D14" i="14"/>
  <c r="Y13" i="14" s="1"/>
  <c r="P19" i="13"/>
  <c r="O19" i="13"/>
  <c r="L19" i="13"/>
  <c r="K19" i="13"/>
  <c r="J19" i="13"/>
  <c r="I19" i="13"/>
  <c r="H19" i="13"/>
  <c r="G19" i="13"/>
  <c r="F19" i="13"/>
  <c r="E19" i="13"/>
  <c r="H17" i="13"/>
  <c r="G17" i="13"/>
  <c r="F17" i="13"/>
  <c r="E17" i="13"/>
  <c r="D17" i="13"/>
  <c r="C17" i="13"/>
  <c r="H15" i="13"/>
  <c r="G15" i="13"/>
  <c r="F15" i="13"/>
  <c r="E15" i="13"/>
  <c r="D15" i="13"/>
  <c r="C15" i="13"/>
  <c r="E138" i="14" l="1"/>
  <c r="F138" i="14"/>
  <c r="E134" i="14"/>
  <c r="F134" i="14"/>
  <c r="E130" i="14"/>
  <c r="F130" i="14"/>
  <c r="E126" i="14"/>
  <c r="F126" i="14"/>
  <c r="D138" i="14"/>
  <c r="D134" i="14"/>
  <c r="D130" i="14"/>
  <c r="D126" i="14"/>
  <c r="D122" i="14"/>
  <c r="D118" i="14"/>
  <c r="E136" i="14" l="1"/>
  <c r="E137" i="14" s="1"/>
  <c r="E139" i="14" s="1"/>
  <c r="F136" i="14"/>
  <c r="F137" i="14" s="1"/>
  <c r="F139" i="14" s="1"/>
  <c r="E132" i="14"/>
  <c r="E133" i="14" s="1"/>
  <c r="E135" i="14" s="1"/>
  <c r="F132" i="14"/>
  <c r="F133" i="14" s="1"/>
  <c r="F135" i="14" s="1"/>
  <c r="E128" i="14"/>
  <c r="E129" i="14" s="1"/>
  <c r="E131" i="14" s="1"/>
  <c r="F128" i="14"/>
  <c r="E124" i="14"/>
  <c r="E125" i="14" s="1"/>
  <c r="F124" i="14"/>
  <c r="D136" i="14"/>
  <c r="D132" i="14"/>
  <c r="D128" i="14"/>
  <c r="D129" i="14" s="1"/>
  <c r="D131" i="14" s="1"/>
  <c r="G128" i="14" s="1"/>
  <c r="D124" i="14"/>
  <c r="D120" i="14"/>
  <c r="D116" i="14"/>
  <c r="G105" i="14"/>
  <c r="G106" i="14" s="1"/>
  <c r="H105" i="14"/>
  <c r="H106" i="14" s="1"/>
  <c r="I105" i="14"/>
  <c r="I106" i="14" s="1"/>
  <c r="J105" i="14"/>
  <c r="J106" i="14" s="1"/>
  <c r="K105" i="14"/>
  <c r="K106" i="14" s="1"/>
  <c r="L105" i="14"/>
  <c r="L106" i="14" s="1"/>
  <c r="M105" i="14"/>
  <c r="M106" i="14" s="1"/>
  <c r="N105" i="14"/>
  <c r="N106" i="14" s="1"/>
  <c r="O105" i="14"/>
  <c r="O106" i="14" s="1"/>
  <c r="G107" i="14"/>
  <c r="G108" i="14" s="1"/>
  <c r="H107" i="14"/>
  <c r="H108" i="14" s="1"/>
  <c r="I107" i="14"/>
  <c r="I108" i="14" s="1"/>
  <c r="J107" i="14"/>
  <c r="J108" i="14" s="1"/>
  <c r="K107" i="14"/>
  <c r="K108" i="14" s="1"/>
  <c r="L107" i="14"/>
  <c r="L108" i="14" s="1"/>
  <c r="M107" i="14"/>
  <c r="M108" i="14" s="1"/>
  <c r="N107" i="14"/>
  <c r="N108" i="14" s="1"/>
  <c r="O107" i="14"/>
  <c r="O108" i="14" s="1"/>
  <c r="G109" i="14"/>
  <c r="G110" i="14" s="1"/>
  <c r="H109" i="14"/>
  <c r="H110" i="14" s="1"/>
  <c r="I109" i="14"/>
  <c r="I110" i="14" s="1"/>
  <c r="J109" i="14"/>
  <c r="J110" i="14" s="1"/>
  <c r="K109" i="14"/>
  <c r="K110" i="14" s="1"/>
  <c r="L109" i="14"/>
  <c r="L110" i="14" s="1"/>
  <c r="M109" i="14"/>
  <c r="M110" i="14" s="1"/>
  <c r="O109" i="14"/>
  <c r="O110" i="14" s="1"/>
  <c r="G111" i="14"/>
  <c r="G112" i="14" s="1"/>
  <c r="H111" i="14"/>
  <c r="H112" i="14" s="1"/>
  <c r="I111" i="14"/>
  <c r="I112" i="14" s="1"/>
  <c r="J111" i="14"/>
  <c r="J112" i="14" s="1"/>
  <c r="K111" i="14"/>
  <c r="K112" i="14" s="1"/>
  <c r="L111" i="14"/>
  <c r="L112" i="14" s="1"/>
  <c r="M111" i="14"/>
  <c r="M112" i="14" s="1"/>
  <c r="O111" i="14"/>
  <c r="F111" i="14"/>
  <c r="F109" i="14"/>
  <c r="F107" i="14"/>
  <c r="F105" i="14"/>
  <c r="F106" i="14" s="1"/>
  <c r="E103" i="14"/>
  <c r="E104" i="14" s="1"/>
  <c r="F103" i="14"/>
  <c r="F104" i="14" s="1"/>
  <c r="G103" i="14"/>
  <c r="G104" i="14" s="1"/>
  <c r="H103" i="14"/>
  <c r="H104" i="14" s="1"/>
  <c r="I103" i="14"/>
  <c r="I104" i="14" s="1"/>
  <c r="D103" i="14"/>
  <c r="D104" i="14" s="1"/>
  <c r="E101" i="14"/>
  <c r="E102" i="14" s="1"/>
  <c r="F101" i="14"/>
  <c r="F102" i="14" s="1"/>
  <c r="G101" i="14"/>
  <c r="G102" i="14" s="1"/>
  <c r="H101" i="14"/>
  <c r="H102" i="14" s="1"/>
  <c r="I101" i="14"/>
  <c r="I102" i="14" s="1"/>
  <c r="D101" i="14"/>
  <c r="D102" i="14" s="1"/>
  <c r="AD111" i="14"/>
  <c r="AA111" i="14"/>
  <c r="AD109" i="14"/>
  <c r="AD103" i="14"/>
  <c r="AA103" i="14"/>
  <c r="O112" i="14" l="1"/>
  <c r="AG111" i="14"/>
  <c r="AA109" i="14"/>
  <c r="AA107" i="14"/>
  <c r="AD101" i="14"/>
  <c r="AD107" i="14"/>
  <c r="D125" i="14"/>
  <c r="D127" i="14" s="1"/>
  <c r="G124" i="14" s="1"/>
  <c r="X109" i="14"/>
  <c r="X107" i="14"/>
  <c r="AB103" i="14"/>
  <c r="Y103" i="14"/>
  <c r="AE103" i="14"/>
  <c r="P103" i="14"/>
  <c r="AG109" i="14"/>
  <c r="AE109" i="14"/>
  <c r="AB109" i="14"/>
  <c r="F110" i="14"/>
  <c r="P109" i="14" s="1"/>
  <c r="Y109" i="14"/>
  <c r="F125" i="14"/>
  <c r="F127" i="14" s="1"/>
  <c r="AB111" i="14"/>
  <c r="F112" i="14"/>
  <c r="AE111" i="14"/>
  <c r="AA105" i="14"/>
  <c r="E127" i="14"/>
  <c r="AE101" i="14"/>
  <c r="AB101" i="14"/>
  <c r="Y101" i="14"/>
  <c r="P101" i="14"/>
  <c r="S101" i="14" s="1"/>
  <c r="AB105" i="14"/>
  <c r="Y105" i="14"/>
  <c r="AG105" i="14"/>
  <c r="P105" i="14"/>
  <c r="AE105" i="14"/>
  <c r="X101" i="14"/>
  <c r="D117" i="14"/>
  <c r="D119" i="14" s="1"/>
  <c r="G116" i="14" s="1"/>
  <c r="N127" i="14" s="1"/>
  <c r="D133" i="14"/>
  <c r="D135" i="14" s="1"/>
  <c r="G132" i="14" s="1"/>
  <c r="F129" i="14"/>
  <c r="F131" i="14" s="1"/>
  <c r="Y107" i="14"/>
  <c r="AG107" i="14"/>
  <c r="AE107" i="14"/>
  <c r="F108" i="14"/>
  <c r="P107" i="14" s="1"/>
  <c r="AB107" i="14"/>
  <c r="D121" i="14"/>
  <c r="D123" i="14" s="1"/>
  <c r="G120" i="14" s="1"/>
  <c r="X103" i="14"/>
  <c r="X111" i="14"/>
  <c r="D137" i="14"/>
  <c r="D139" i="14" s="1"/>
  <c r="G136" i="14" s="1"/>
  <c r="X105" i="14"/>
  <c r="AD105" i="14"/>
  <c r="P111" i="14" l="1"/>
  <c r="S111" i="14" s="1"/>
  <c r="AA101" i="14"/>
  <c r="AA113" i="14" s="1"/>
  <c r="AD113" i="14"/>
  <c r="AG113" i="14"/>
  <c r="AB113" i="14"/>
  <c r="AE113" i="14"/>
  <c r="X113" i="14"/>
  <c r="Y111" i="14"/>
  <c r="Y113" i="14" s="1"/>
  <c r="S109" i="14"/>
  <c r="S107" i="14"/>
  <c r="S105" i="14"/>
  <c r="S103" i="14"/>
  <c r="X13" i="14"/>
  <c r="S113" i="14" l="1"/>
  <c r="N129" i="14" s="1"/>
  <c r="AD23" i="14"/>
  <c r="AD21" i="14"/>
  <c r="AD19" i="14"/>
  <c r="AD17" i="14"/>
  <c r="AD15" i="14"/>
  <c r="AD13" i="14"/>
  <c r="AA23" i="14"/>
  <c r="AA21" i="14"/>
  <c r="AA19" i="14"/>
  <c r="AA17" i="14"/>
  <c r="AA15" i="14"/>
  <c r="X21" i="14"/>
  <c r="X19" i="14"/>
  <c r="X17" i="14"/>
  <c r="X15" i="14"/>
  <c r="AG21" i="14" l="1"/>
  <c r="AG19" i="14"/>
  <c r="AG17" i="14"/>
  <c r="AE23" i="14"/>
  <c r="AE21" i="14"/>
  <c r="AE19" i="14"/>
  <c r="AE17" i="14"/>
  <c r="AE15" i="14"/>
  <c r="AE13" i="14"/>
  <c r="AB21" i="14"/>
  <c r="AB17" i="14"/>
  <c r="AB15" i="14"/>
  <c r="AB13" i="14"/>
  <c r="Y21" i="14"/>
  <c r="Y19" i="14"/>
  <c r="Y17" i="14"/>
  <c r="Y15" i="14"/>
  <c r="F89" i="14"/>
  <c r="F90" i="14" s="1"/>
  <c r="G89" i="14"/>
  <c r="G90" i="14" s="1"/>
  <c r="H89" i="14"/>
  <c r="H90" i="14" s="1"/>
  <c r="I89" i="14"/>
  <c r="I90" i="14" s="1"/>
  <c r="J89" i="14"/>
  <c r="J90" i="14" s="1"/>
  <c r="K89" i="14"/>
  <c r="K90" i="14" s="1"/>
  <c r="L89" i="14"/>
  <c r="L90" i="14" s="1"/>
  <c r="M89" i="14"/>
  <c r="N89" i="14"/>
  <c r="N90" i="14" s="1"/>
  <c r="F83" i="14"/>
  <c r="F84" i="14" s="1"/>
  <c r="G83" i="14"/>
  <c r="G84" i="14" s="1"/>
  <c r="H83" i="14"/>
  <c r="H84" i="14" s="1"/>
  <c r="I83" i="14"/>
  <c r="I84" i="14" s="1"/>
  <c r="J83" i="14"/>
  <c r="J84" i="14" s="1"/>
  <c r="K83" i="14"/>
  <c r="K84" i="14" s="1"/>
  <c r="L83" i="14"/>
  <c r="L84" i="14" s="1"/>
  <c r="M83" i="14"/>
  <c r="M84" i="14" s="1"/>
  <c r="N83" i="14"/>
  <c r="N84" i="14" s="1"/>
  <c r="F77" i="14"/>
  <c r="F78" i="14" s="1"/>
  <c r="G77" i="14"/>
  <c r="G78" i="14" s="1"/>
  <c r="H77" i="14"/>
  <c r="H78" i="14" s="1"/>
  <c r="I77" i="14"/>
  <c r="I78" i="14" s="1"/>
  <c r="J77" i="14"/>
  <c r="J78" i="14" s="1"/>
  <c r="K77" i="14"/>
  <c r="K78" i="14" s="1"/>
  <c r="L77" i="14"/>
  <c r="L78" i="14" s="1"/>
  <c r="M77" i="14"/>
  <c r="M78" i="14" s="1"/>
  <c r="N77" i="14"/>
  <c r="N78" i="14" s="1"/>
  <c r="E89" i="14"/>
  <c r="E90" i="14" s="1"/>
  <c r="E83" i="14"/>
  <c r="E84" i="14" s="1"/>
  <c r="E77" i="14"/>
  <c r="E78" i="14" s="1"/>
  <c r="Q89" i="14"/>
  <c r="Q90" i="14" s="1"/>
  <c r="P89" i="14"/>
  <c r="P90" i="14" s="1"/>
  <c r="O89" i="14"/>
  <c r="O90" i="14" s="1"/>
  <c r="Q83" i="14"/>
  <c r="Q84" i="14" s="1"/>
  <c r="P83" i="14"/>
  <c r="P84" i="14" s="1"/>
  <c r="O83" i="14"/>
  <c r="O84" i="14" s="1"/>
  <c r="Q77" i="14"/>
  <c r="Q78" i="14" s="1"/>
  <c r="P77" i="14"/>
  <c r="P78" i="14" s="1"/>
  <c r="O77" i="14"/>
  <c r="O78" i="14" s="1"/>
  <c r="Q71" i="14"/>
  <c r="Q72" i="14" s="1"/>
  <c r="P71" i="14"/>
  <c r="P72" i="14" s="1"/>
  <c r="O71" i="14"/>
  <c r="O72" i="14" s="1"/>
  <c r="F71" i="14"/>
  <c r="F72" i="14" s="1"/>
  <c r="G71" i="14"/>
  <c r="G72" i="14" s="1"/>
  <c r="H71" i="14"/>
  <c r="H72" i="14" s="1"/>
  <c r="I71" i="14"/>
  <c r="I72" i="14" s="1"/>
  <c r="J71" i="14"/>
  <c r="J72" i="14" s="1"/>
  <c r="K71" i="14"/>
  <c r="K72" i="14" s="1"/>
  <c r="L71" i="14"/>
  <c r="L72" i="14" s="1"/>
  <c r="M71" i="14"/>
  <c r="M72" i="14" s="1"/>
  <c r="N71" i="14"/>
  <c r="N72" i="14" s="1"/>
  <c r="E71" i="14"/>
  <c r="E72" i="14" s="1"/>
  <c r="C65" i="14"/>
  <c r="C66" i="14" s="1"/>
  <c r="O65" i="14"/>
  <c r="O66" i="14" s="1"/>
  <c r="Z70" i="14" l="1"/>
  <c r="M90" i="14"/>
  <c r="C59" i="14"/>
  <c r="C60" i="14" s="1"/>
  <c r="D65" i="14"/>
  <c r="D66" i="14" s="1"/>
  <c r="E65" i="14"/>
  <c r="E66" i="14" s="1"/>
  <c r="F65" i="14"/>
  <c r="F66" i="14" s="1"/>
  <c r="G65" i="14"/>
  <c r="G66" i="14" s="1"/>
  <c r="H65" i="14"/>
  <c r="H66" i="14" s="1"/>
  <c r="O59" i="14"/>
  <c r="O60" i="14" s="1"/>
  <c r="D59" i="14"/>
  <c r="D60" i="14" s="1"/>
  <c r="E59" i="14"/>
  <c r="E60" i="14" s="1"/>
  <c r="F59" i="14"/>
  <c r="F60" i="14" s="1"/>
  <c r="G59" i="14"/>
  <c r="G60" i="14" s="1"/>
  <c r="H59" i="14"/>
  <c r="H60" i="14" s="1"/>
  <c r="C64" i="14" l="1"/>
  <c r="I94" i="14" l="1"/>
  <c r="Q88" i="14"/>
  <c r="G88" i="14"/>
  <c r="F88" i="14"/>
  <c r="P88" i="14"/>
  <c r="Z63" i="14"/>
  <c r="Y63" i="14"/>
  <c r="E49" i="14"/>
  <c r="E51" i="14" s="1"/>
  <c r="F49" i="14"/>
  <c r="F51" i="14" s="1"/>
  <c r="D49" i="14"/>
  <c r="D51" i="14" s="1"/>
  <c r="F45" i="14"/>
  <c r="F47" i="14" s="1"/>
  <c r="E45" i="14"/>
  <c r="E47" i="14" s="1"/>
  <c r="D45" i="14"/>
  <c r="D47" i="14" s="1"/>
  <c r="F41" i="14"/>
  <c r="F43" i="14" s="1"/>
  <c r="E41" i="14"/>
  <c r="E43" i="14" s="1"/>
  <c r="D41" i="14"/>
  <c r="D43" i="14" s="1"/>
  <c r="D39" i="14"/>
  <c r="F37" i="14"/>
  <c r="F39" i="14" s="1"/>
  <c r="E39" i="14"/>
  <c r="D33" i="14"/>
  <c r="D35" i="14" s="1"/>
  <c r="G32" i="14" s="1"/>
  <c r="D29" i="14"/>
  <c r="D31" i="14" s="1"/>
  <c r="AA13" i="14" s="1"/>
  <c r="O15" i="13"/>
  <c r="M24" i="14"/>
  <c r="L24" i="14"/>
  <c r="K24" i="14"/>
  <c r="J24" i="14"/>
  <c r="I24" i="14"/>
  <c r="H24" i="14"/>
  <c r="G24" i="14"/>
  <c r="F24" i="14"/>
  <c r="E25" i="13"/>
  <c r="M22" i="14"/>
  <c r="L22" i="14"/>
  <c r="K22" i="14"/>
  <c r="J22" i="14"/>
  <c r="I22" i="14"/>
  <c r="H22" i="14"/>
  <c r="G22" i="14"/>
  <c r="F22" i="14"/>
  <c r="F20" i="14"/>
  <c r="M20" i="14"/>
  <c r="L20" i="14"/>
  <c r="K20" i="14"/>
  <c r="J20" i="14"/>
  <c r="I20" i="14"/>
  <c r="H20" i="14"/>
  <c r="G20" i="14"/>
  <c r="M25" i="13"/>
  <c r="AB19" i="14"/>
  <c r="M19" i="13"/>
  <c r="F9" i="14"/>
  <c r="E9" i="14"/>
  <c r="AB23" i="14" l="1"/>
  <c r="Y23" i="14"/>
  <c r="Y25" i="14" s="1"/>
  <c r="W103" i="14"/>
  <c r="AC103" i="14"/>
  <c r="Z103" i="14"/>
  <c r="Q103" i="14"/>
  <c r="AC101" i="14"/>
  <c r="W13" i="14"/>
  <c r="Z101" i="14"/>
  <c r="W101" i="14"/>
  <c r="Q101" i="14"/>
  <c r="H70" i="14"/>
  <c r="AD25" i="14"/>
  <c r="AA25" i="14"/>
  <c r="X23" i="14"/>
  <c r="X25" i="14" s="1"/>
  <c r="O70" i="14"/>
  <c r="W61" i="14" s="1"/>
  <c r="G28" i="14"/>
  <c r="G48" i="14"/>
  <c r="G36" i="14"/>
  <c r="G44" i="14"/>
  <c r="G40" i="14"/>
  <c r="F70" i="14"/>
  <c r="F64" i="14"/>
  <c r="AC13" i="14"/>
  <c r="Z13" i="14"/>
  <c r="AC15" i="14"/>
  <c r="Z15" i="14"/>
  <c r="W15" i="14"/>
  <c r="N82" i="14"/>
  <c r="G64" i="14"/>
  <c r="O64" i="14"/>
  <c r="W59" i="14" s="1"/>
  <c r="G70" i="14"/>
  <c r="Q82" i="14"/>
  <c r="G94" i="14"/>
  <c r="O94" i="14"/>
  <c r="C70" i="14"/>
  <c r="M82" i="14"/>
  <c r="M88" i="14"/>
  <c r="E76" i="14"/>
  <c r="I76" i="14"/>
  <c r="M76" i="14"/>
  <c r="Q76" i="14"/>
  <c r="I82" i="14"/>
  <c r="I88" i="14"/>
  <c r="F76" i="14"/>
  <c r="J76" i="14"/>
  <c r="N76" i="14"/>
  <c r="D70" i="14"/>
  <c r="R65" i="14"/>
  <c r="O82" i="14"/>
  <c r="O88" i="14"/>
  <c r="Q94" i="14"/>
  <c r="J88" i="14"/>
  <c r="F82" i="14"/>
  <c r="P94" i="14"/>
  <c r="J82" i="14"/>
  <c r="L94" i="14"/>
  <c r="K82" i="14"/>
  <c r="P82" i="14"/>
  <c r="R77" i="14"/>
  <c r="M94" i="14"/>
  <c r="F94" i="14"/>
  <c r="G76" i="14"/>
  <c r="K76" i="14"/>
  <c r="O76" i="14"/>
  <c r="G82" i="14"/>
  <c r="L82" i="14"/>
  <c r="K88" i="14"/>
  <c r="H88" i="14"/>
  <c r="J94" i="14"/>
  <c r="H76" i="14"/>
  <c r="L76" i="14"/>
  <c r="P76" i="14"/>
  <c r="R71" i="14"/>
  <c r="H82" i="14"/>
  <c r="L88" i="14"/>
  <c r="R83" i="14"/>
  <c r="R59" i="14"/>
  <c r="H64" i="14"/>
  <c r="D64" i="14"/>
  <c r="S59" i="14" s="1"/>
  <c r="S95" i="14" s="1"/>
  <c r="R89" i="14"/>
  <c r="P13" i="14"/>
  <c r="Q13" i="14" s="1"/>
  <c r="Y59" i="14"/>
  <c r="E64" i="14"/>
  <c r="X61" i="14"/>
  <c r="E70" i="14"/>
  <c r="X59" i="14"/>
  <c r="Y61" i="14"/>
  <c r="K94" i="14"/>
  <c r="H94" i="14"/>
  <c r="P21" i="14"/>
  <c r="P19" i="14"/>
  <c r="P17" i="14"/>
  <c r="P15" i="14"/>
  <c r="J9" i="14"/>
  <c r="I9" i="14"/>
  <c r="H9" i="14"/>
  <c r="G9" i="14"/>
  <c r="AF23" i="14" l="1"/>
  <c r="AF111" i="14"/>
  <c r="Z105" i="14"/>
  <c r="AF105" i="14"/>
  <c r="AC105" i="14"/>
  <c r="W105" i="14"/>
  <c r="Q105" i="14"/>
  <c r="N41" i="14"/>
  <c r="W107" i="14"/>
  <c r="Z107" i="14"/>
  <c r="AF107" i="14"/>
  <c r="AC107" i="14"/>
  <c r="Q107" i="14"/>
  <c r="AC111" i="14"/>
  <c r="Z111" i="14"/>
  <c r="Q111" i="14"/>
  <c r="AF109" i="14"/>
  <c r="AC109" i="14"/>
  <c r="Z109" i="14"/>
  <c r="W109" i="14"/>
  <c r="Q109" i="14"/>
  <c r="W63" i="14"/>
  <c r="X63" i="14"/>
  <c r="AC21" i="14"/>
  <c r="Z21" i="14"/>
  <c r="W21" i="14"/>
  <c r="AF21" i="14"/>
  <c r="AC23" i="14"/>
  <c r="Z23" i="14"/>
  <c r="AF17" i="14"/>
  <c r="AC17" i="14"/>
  <c r="Z17" i="14"/>
  <c r="W17" i="14"/>
  <c r="AF19" i="14"/>
  <c r="W19" i="14"/>
  <c r="AC19" i="14"/>
  <c r="Z19" i="14"/>
  <c r="S71" i="14"/>
  <c r="S65" i="14"/>
  <c r="AE25" i="14"/>
  <c r="AB25" i="14"/>
  <c r="AG25" i="14"/>
  <c r="Q15" i="14"/>
  <c r="S15" i="14"/>
  <c r="Q21" i="14"/>
  <c r="S21" i="14"/>
  <c r="S17" i="14"/>
  <c r="Q17" i="14"/>
  <c r="S19" i="14"/>
  <c r="Q19" i="14"/>
  <c r="S13" i="14"/>
  <c r="K9" i="14"/>
  <c r="N88" i="14"/>
  <c r="E94" i="14"/>
  <c r="S89" i="14" s="1"/>
  <c r="X65" i="14"/>
  <c r="W65" i="14"/>
  <c r="Z65" i="14"/>
  <c r="E82" i="14"/>
  <c r="S77" i="14" s="1"/>
  <c r="Y65" i="14"/>
  <c r="N94" i="14"/>
  <c r="P23" i="14"/>
  <c r="W111" i="14" l="1"/>
  <c r="W113" i="14" s="1"/>
  <c r="W114" i="14" s="1"/>
  <c r="AC113" i="14"/>
  <c r="AC114" i="14" s="1"/>
  <c r="Q113" i="14"/>
  <c r="N125" i="14" s="1"/>
  <c r="N131" i="14" s="1"/>
  <c r="Z113" i="14"/>
  <c r="Z114" i="14" s="1"/>
  <c r="AF113" i="14"/>
  <c r="AF114" i="14" s="1"/>
  <c r="W23" i="14"/>
  <c r="W25" i="14" s="1"/>
  <c r="W26" i="14" s="1"/>
  <c r="AF25" i="14"/>
  <c r="AF26" i="14" s="1"/>
  <c r="AC25" i="14"/>
  <c r="AC26" i="14" s="1"/>
  <c r="Z25" i="14"/>
  <c r="Z26" i="14" s="1"/>
  <c r="Q23" i="14"/>
  <c r="Q25" i="14" s="1"/>
  <c r="N39" i="14" s="1"/>
  <c r="N43" i="14" s="1"/>
  <c r="S23" i="14"/>
  <c r="S25" i="14" s="1"/>
  <c r="X70" i="14"/>
  <c r="Y67" i="14"/>
  <c r="E88" i="14"/>
  <c r="S83" i="14" s="1"/>
  <c r="X67" i="14"/>
  <c r="W67" i="14"/>
  <c r="Z67" i="14"/>
  <c r="Y70" i="14"/>
  <c r="W70" i="14" l="1"/>
  <c r="W72" i="14" s="1"/>
  <c r="X72" i="14"/>
  <c r="Z72" i="14"/>
  <c r="Y72" i="14"/>
  <c r="R67" i="13" l="1"/>
  <c r="R49" i="13"/>
  <c r="R73" i="13"/>
  <c r="R61" i="13"/>
  <c r="R55" i="13"/>
  <c r="C49" i="13"/>
  <c r="C50" i="13" s="1"/>
  <c r="C54" i="13" l="1"/>
  <c r="S49" i="13" s="1"/>
  <c r="O49" i="13"/>
  <c r="O50" i="13" s="1"/>
  <c r="O54" i="13" s="1"/>
  <c r="G73" i="13"/>
  <c r="G74" i="13" s="1"/>
  <c r="G78" i="13" s="1"/>
  <c r="H73" i="13"/>
  <c r="H74" i="13" s="1"/>
  <c r="H78" i="13" s="1"/>
  <c r="I73" i="13"/>
  <c r="I74" i="13" s="1"/>
  <c r="I78" i="13" s="1"/>
  <c r="J73" i="13"/>
  <c r="J74" i="13" s="1"/>
  <c r="J78" i="13" s="1"/>
  <c r="K73" i="13"/>
  <c r="K74" i="13" s="1"/>
  <c r="K78" i="13" s="1"/>
  <c r="L73" i="13"/>
  <c r="L74" i="13" s="1"/>
  <c r="L78" i="13" s="1"/>
  <c r="M73" i="13"/>
  <c r="N73" i="13"/>
  <c r="N74" i="13" s="1"/>
  <c r="N78" i="13" s="1"/>
  <c r="O73" i="13"/>
  <c r="O74" i="13" s="1"/>
  <c r="O78" i="13" s="1"/>
  <c r="P73" i="13"/>
  <c r="P74" i="13" s="1"/>
  <c r="P78" i="13" s="1"/>
  <c r="Q73" i="13"/>
  <c r="Q74" i="13" s="1"/>
  <c r="Q78" i="13" s="1"/>
  <c r="F73" i="13"/>
  <c r="F74" i="13" s="1"/>
  <c r="F78" i="13" s="1"/>
  <c r="E73" i="13"/>
  <c r="G67" i="13"/>
  <c r="G68" i="13" s="1"/>
  <c r="G72" i="13" s="1"/>
  <c r="H67" i="13"/>
  <c r="H68" i="13" s="1"/>
  <c r="H72" i="13" s="1"/>
  <c r="I67" i="13"/>
  <c r="I68" i="13" s="1"/>
  <c r="I72" i="13" s="1"/>
  <c r="J67" i="13"/>
  <c r="J68" i="13" s="1"/>
  <c r="J72" i="13" s="1"/>
  <c r="K67" i="13"/>
  <c r="K68" i="13" s="1"/>
  <c r="K72" i="13" s="1"/>
  <c r="L67" i="13"/>
  <c r="L68" i="13" s="1"/>
  <c r="L72" i="13" s="1"/>
  <c r="M67" i="13"/>
  <c r="M68" i="13" s="1"/>
  <c r="M72" i="13" s="1"/>
  <c r="N67" i="13"/>
  <c r="N68" i="13" s="1"/>
  <c r="N72" i="13" s="1"/>
  <c r="O67" i="13"/>
  <c r="O68" i="13" s="1"/>
  <c r="O72" i="13" s="1"/>
  <c r="P67" i="13"/>
  <c r="P68" i="13" s="1"/>
  <c r="P72" i="13" s="1"/>
  <c r="Q67" i="13"/>
  <c r="Q68" i="13" s="1"/>
  <c r="Q72" i="13" s="1"/>
  <c r="F67" i="13"/>
  <c r="F68" i="13" s="1"/>
  <c r="F72" i="13" s="1"/>
  <c r="E67" i="13"/>
  <c r="G61" i="13"/>
  <c r="G62" i="13" s="1"/>
  <c r="G66" i="13" s="1"/>
  <c r="H61" i="13"/>
  <c r="H62" i="13" s="1"/>
  <c r="H66" i="13" s="1"/>
  <c r="I61" i="13"/>
  <c r="I62" i="13" s="1"/>
  <c r="I66" i="13" s="1"/>
  <c r="J61" i="13"/>
  <c r="J62" i="13" s="1"/>
  <c r="J66" i="13" s="1"/>
  <c r="K61" i="13"/>
  <c r="K62" i="13" s="1"/>
  <c r="K66" i="13" s="1"/>
  <c r="L61" i="13"/>
  <c r="L62" i="13" s="1"/>
  <c r="L66" i="13" s="1"/>
  <c r="M61" i="13"/>
  <c r="M62" i="13" s="1"/>
  <c r="M66" i="13" s="1"/>
  <c r="N61" i="13"/>
  <c r="N62" i="13" s="1"/>
  <c r="N66" i="13" s="1"/>
  <c r="O61" i="13"/>
  <c r="O62" i="13" s="1"/>
  <c r="O66" i="13" s="1"/>
  <c r="P61" i="13"/>
  <c r="P62" i="13" s="1"/>
  <c r="P66" i="13" s="1"/>
  <c r="Q61" i="13"/>
  <c r="Q62" i="13" s="1"/>
  <c r="Q66" i="13" s="1"/>
  <c r="F61" i="13"/>
  <c r="F62" i="13" s="1"/>
  <c r="F66" i="13" s="1"/>
  <c r="E61" i="13"/>
  <c r="G55" i="13"/>
  <c r="H55" i="13"/>
  <c r="I55" i="13"/>
  <c r="J55" i="13"/>
  <c r="K55" i="13"/>
  <c r="L55" i="13"/>
  <c r="M55" i="13"/>
  <c r="N55" i="13"/>
  <c r="N56" i="13" s="1"/>
  <c r="N60" i="13" s="1"/>
  <c r="O55" i="13"/>
  <c r="P55" i="13"/>
  <c r="Q55" i="13"/>
  <c r="Q56" i="13" s="1"/>
  <c r="Q60" i="13" s="1"/>
  <c r="F55" i="13"/>
  <c r="E55" i="13"/>
  <c r="E56" i="13" s="1"/>
  <c r="E49" i="13"/>
  <c r="E50" i="13" s="1"/>
  <c r="F49" i="13"/>
  <c r="G49" i="13"/>
  <c r="H49" i="13"/>
  <c r="D49" i="13"/>
  <c r="O43" i="13"/>
  <c r="O44" i="13" s="1"/>
  <c r="O48" i="13" s="1"/>
  <c r="E43" i="13"/>
  <c r="F43" i="13"/>
  <c r="G43" i="13"/>
  <c r="H43" i="13"/>
  <c r="D43" i="13"/>
  <c r="C43" i="13"/>
  <c r="C44" i="13" s="1"/>
  <c r="C48" i="13" s="1"/>
  <c r="D44" i="13" l="1"/>
  <c r="E44" i="13"/>
  <c r="E48" i="13" s="1"/>
  <c r="G50" i="13"/>
  <c r="G54" i="13" s="1"/>
  <c r="F56" i="13"/>
  <c r="F60" i="13" s="1"/>
  <c r="H44" i="13"/>
  <c r="H48" i="13" s="1"/>
  <c r="I56" i="13"/>
  <c r="I60" i="13" s="1"/>
  <c r="G44" i="13"/>
  <c r="G48" i="13" s="1"/>
  <c r="D50" i="13"/>
  <c r="D54" i="13" s="1"/>
  <c r="P56" i="13"/>
  <c r="P60" i="13" s="1"/>
  <c r="L56" i="13"/>
  <c r="L60" i="13" s="1"/>
  <c r="H56" i="13"/>
  <c r="H60" i="13" s="1"/>
  <c r="J56" i="13"/>
  <c r="J60" i="13" s="1"/>
  <c r="F50" i="13"/>
  <c r="F54" i="13" s="1"/>
  <c r="F44" i="13"/>
  <c r="F48" i="13" s="1"/>
  <c r="H50" i="13"/>
  <c r="H54" i="13" s="1"/>
  <c r="O56" i="13"/>
  <c r="O60" i="13" s="1"/>
  <c r="K56" i="13"/>
  <c r="K60" i="13" s="1"/>
  <c r="G56" i="13"/>
  <c r="G60" i="13" s="1"/>
  <c r="M74" i="13"/>
  <c r="M78" i="13" s="1"/>
  <c r="M56" i="13"/>
  <c r="M60" i="13" s="1"/>
  <c r="E74" i="13"/>
  <c r="E78" i="13" s="1"/>
  <c r="S73" i="13" s="1"/>
  <c r="AB54" i="13"/>
  <c r="AF54" i="13"/>
  <c r="AC54" i="13"/>
  <c r="AH55" i="13"/>
  <c r="AH54" i="13"/>
  <c r="AF55" i="13"/>
  <c r="E62" i="13"/>
  <c r="E66" i="13" s="1"/>
  <c r="S61" i="13" s="1"/>
  <c r="AB49" i="13"/>
  <c r="AD49" i="13"/>
  <c r="AA49" i="13"/>
  <c r="AC49" i="13"/>
  <c r="E68" i="13"/>
  <c r="E72" i="13" s="1"/>
  <c r="S67" i="13" s="1"/>
  <c r="AA51" i="13"/>
  <c r="AC51" i="13"/>
  <c r="AB51" i="13"/>
  <c r="AD51" i="13"/>
  <c r="AA45" i="13"/>
  <c r="AC45" i="13"/>
  <c r="E60" i="13"/>
  <c r="S55" i="13" s="1"/>
  <c r="AD47" i="13"/>
  <c r="AB47" i="13"/>
  <c r="AC47" i="13"/>
  <c r="AA47" i="13"/>
  <c r="AB45" i="13"/>
  <c r="AB43" i="13"/>
  <c r="E54" i="13"/>
  <c r="AD24" i="13"/>
  <c r="AF24" i="13"/>
  <c r="AN25" i="13"/>
  <c r="AN24" i="13"/>
  <c r="AK25" i="13"/>
  <c r="AK24" i="13"/>
  <c r="AH22" i="13"/>
  <c r="AD22" i="13"/>
  <c r="AF22" i="13"/>
  <c r="AB22" i="13"/>
  <c r="AH20" i="13"/>
  <c r="AD20" i="13"/>
  <c r="AF20" i="13"/>
  <c r="AB20" i="13"/>
  <c r="AD18" i="13"/>
  <c r="AF18" i="13"/>
  <c r="AB18" i="13"/>
  <c r="AD16" i="13"/>
  <c r="AF16" i="13"/>
  <c r="AB16" i="13"/>
  <c r="AA54" i="13" l="1"/>
  <c r="AD54" i="13"/>
  <c r="AB56" i="13"/>
  <c r="AC43" i="13"/>
  <c r="AC56" i="13" s="1"/>
  <c r="AH24" i="13"/>
  <c r="AB24" i="13"/>
  <c r="N25" i="13"/>
  <c r="L25" i="13"/>
  <c r="J25" i="13"/>
  <c r="H25" i="13"/>
  <c r="F25" i="13"/>
  <c r="N23" i="13"/>
  <c r="L23" i="13"/>
  <c r="J23" i="13"/>
  <c r="H23" i="13"/>
  <c r="F23" i="13"/>
  <c r="N21" i="13"/>
  <c r="L21" i="13"/>
  <c r="J21" i="13"/>
  <c r="H21" i="13"/>
  <c r="F21" i="13"/>
  <c r="N19" i="13"/>
  <c r="AD56" i="13" l="1"/>
  <c r="F95" i="13"/>
  <c r="F96" i="13" s="1"/>
  <c r="G95" i="13"/>
  <c r="H95" i="13"/>
  <c r="H96" i="13" s="1"/>
  <c r="I95" i="13"/>
  <c r="J95" i="13"/>
  <c r="J96" i="13" s="1"/>
  <c r="K95" i="13"/>
  <c r="L95" i="13"/>
  <c r="L96" i="13" s="1"/>
  <c r="M95" i="13"/>
  <c r="M96" i="13" s="1"/>
  <c r="N95" i="13"/>
  <c r="N96" i="13" s="1"/>
  <c r="F93" i="13"/>
  <c r="F94" i="13" s="1"/>
  <c r="G93" i="13"/>
  <c r="H93" i="13"/>
  <c r="H94" i="13" s="1"/>
  <c r="I93" i="13"/>
  <c r="J93" i="13"/>
  <c r="J94" i="13" s="1"/>
  <c r="K93" i="13"/>
  <c r="L93" i="13"/>
  <c r="L94" i="13" s="1"/>
  <c r="M93" i="13"/>
  <c r="N93" i="13"/>
  <c r="N94" i="13" s="1"/>
  <c r="F91" i="13"/>
  <c r="F92" i="13" s="1"/>
  <c r="G91" i="13"/>
  <c r="H91" i="13"/>
  <c r="H92" i="13" s="1"/>
  <c r="I91" i="13"/>
  <c r="J91" i="13"/>
  <c r="J92" i="13" s="1"/>
  <c r="K91" i="13"/>
  <c r="L91" i="13"/>
  <c r="L92" i="13" s="1"/>
  <c r="M91" i="13"/>
  <c r="N91" i="13"/>
  <c r="N92" i="13" s="1"/>
  <c r="F89" i="13"/>
  <c r="F90" i="13" s="1"/>
  <c r="G89" i="13"/>
  <c r="G90" i="13" s="1"/>
  <c r="H89" i="13"/>
  <c r="H90" i="13" s="1"/>
  <c r="I89" i="13"/>
  <c r="I90" i="13" s="1"/>
  <c r="J89" i="13"/>
  <c r="J90" i="13" s="1"/>
  <c r="K89" i="13"/>
  <c r="K90" i="13" s="1"/>
  <c r="L89" i="13"/>
  <c r="L90" i="13" s="1"/>
  <c r="M89" i="13"/>
  <c r="M90" i="13" s="1"/>
  <c r="N89" i="13"/>
  <c r="N90" i="13" s="1"/>
  <c r="D87" i="13"/>
  <c r="D88" i="13" s="1"/>
  <c r="E87" i="13"/>
  <c r="E88" i="13" s="1"/>
  <c r="F87" i="13"/>
  <c r="F88" i="13" s="1"/>
  <c r="G87" i="13"/>
  <c r="G88" i="13" s="1"/>
  <c r="H87" i="13"/>
  <c r="H88" i="13" s="1"/>
  <c r="E85" i="13"/>
  <c r="E86" i="13" s="1"/>
  <c r="F85" i="13"/>
  <c r="F86" i="13" s="1"/>
  <c r="G85" i="13"/>
  <c r="G86" i="13" s="1"/>
  <c r="H85" i="13"/>
  <c r="H86" i="13" s="1"/>
  <c r="D85" i="13"/>
  <c r="D86" i="13" s="1"/>
  <c r="Q23" i="13" l="1"/>
  <c r="M23" i="13" l="1"/>
  <c r="Q25" i="13"/>
  <c r="P25" i="13"/>
  <c r="O25" i="13"/>
  <c r="K25" i="13"/>
  <c r="I25" i="13"/>
  <c r="G25" i="13"/>
  <c r="P23" i="13"/>
  <c r="O23" i="13"/>
  <c r="K23" i="13"/>
  <c r="I23" i="13"/>
  <c r="G23" i="13"/>
  <c r="E23" i="13"/>
  <c r="Q21" i="13"/>
  <c r="P21" i="13"/>
  <c r="O21" i="13"/>
  <c r="K21" i="13"/>
  <c r="I21" i="13"/>
  <c r="G21" i="13"/>
  <c r="E21" i="13"/>
  <c r="Q19" i="13"/>
  <c r="M21" i="13"/>
  <c r="O17" i="13"/>
  <c r="AF14" i="13"/>
  <c r="AF26" i="13" s="1"/>
  <c r="Q9" i="13"/>
  <c r="R14" i="13" l="1"/>
  <c r="AB14" i="13"/>
  <c r="AB26" i="13" s="1"/>
  <c r="AD14" i="13"/>
  <c r="AD26" i="13" s="1"/>
  <c r="R16" i="13"/>
  <c r="R22" i="13"/>
  <c r="R24" i="13"/>
  <c r="R20" i="13"/>
  <c r="T14" i="13" l="1"/>
  <c r="R18" i="13"/>
  <c r="AH18" i="13" s="1"/>
  <c r="AH26" i="13" s="1"/>
  <c r="K9" i="13"/>
  <c r="J9" i="13"/>
  <c r="I9" i="13"/>
  <c r="H9" i="13"/>
  <c r="G9" i="13"/>
  <c r="F9" i="13"/>
  <c r="AA14" i="13" s="1"/>
  <c r="L8" i="13"/>
  <c r="L7" i="13"/>
  <c r="C85" i="13"/>
  <c r="C86" i="13" s="1"/>
  <c r="O85" i="13"/>
  <c r="O86" i="13" s="1"/>
  <c r="C87" i="13"/>
  <c r="C88" i="13" s="1"/>
  <c r="O87" i="13"/>
  <c r="O88" i="13" s="1"/>
  <c r="E89" i="13"/>
  <c r="E90" i="13" s="1"/>
  <c r="O89" i="13"/>
  <c r="O90" i="13" s="1"/>
  <c r="P89" i="13"/>
  <c r="P90" i="13" s="1"/>
  <c r="Q89" i="13"/>
  <c r="Q90" i="13" s="1"/>
  <c r="E91" i="13"/>
  <c r="O91" i="13"/>
  <c r="O92" i="13" s="1"/>
  <c r="P91" i="13"/>
  <c r="P92" i="13" s="1"/>
  <c r="Q91" i="13"/>
  <c r="Q92" i="13" s="1"/>
  <c r="E93" i="13"/>
  <c r="O93" i="13"/>
  <c r="O94" i="13" s="1"/>
  <c r="P93" i="13"/>
  <c r="P94" i="13" s="1"/>
  <c r="Q93" i="13"/>
  <c r="Q94" i="13" s="1"/>
  <c r="E95" i="13"/>
  <c r="O95" i="13"/>
  <c r="O96" i="13" s="1"/>
  <c r="P95" i="13"/>
  <c r="P96" i="13" s="1"/>
  <c r="Q95" i="13"/>
  <c r="Q96" i="13" s="1"/>
  <c r="AH96" i="13" l="1"/>
  <c r="AC95" i="13"/>
  <c r="AH95" i="13"/>
  <c r="AB95" i="13"/>
  <c r="AF96" i="13"/>
  <c r="AF95" i="13"/>
  <c r="AB93" i="13"/>
  <c r="AA93" i="13"/>
  <c r="AC93" i="13"/>
  <c r="AD93" i="13"/>
  <c r="AB91" i="13"/>
  <c r="AC91" i="13"/>
  <c r="AA91" i="13"/>
  <c r="AD91" i="13"/>
  <c r="AB89" i="13"/>
  <c r="AA89" i="13"/>
  <c r="AD89" i="13"/>
  <c r="AC89" i="13"/>
  <c r="AA85" i="13"/>
  <c r="AB85" i="13"/>
  <c r="AC85" i="13"/>
  <c r="AA87" i="13"/>
  <c r="AB87" i="13"/>
  <c r="AC87" i="13"/>
  <c r="S14" i="13"/>
  <c r="AC20" i="13"/>
  <c r="AA20" i="13"/>
  <c r="AG20" i="13"/>
  <c r="AE20" i="13"/>
  <c r="V22" i="13"/>
  <c r="AC22" i="13"/>
  <c r="AA22" i="13"/>
  <c r="AG22" i="13"/>
  <c r="AE22" i="13"/>
  <c r="V18" i="13"/>
  <c r="AC18" i="13"/>
  <c r="AA18" i="13"/>
  <c r="AG18" i="13"/>
  <c r="AE18" i="13"/>
  <c r="AE16" i="13"/>
  <c r="AC16" i="13"/>
  <c r="AA16" i="13"/>
  <c r="V24" i="13"/>
  <c r="AC24" i="13"/>
  <c r="AM25" i="13"/>
  <c r="AJ25" i="13"/>
  <c r="AE24" i="13"/>
  <c r="AM24" i="13"/>
  <c r="AJ24" i="13"/>
  <c r="AE14" i="13"/>
  <c r="AC14" i="13"/>
  <c r="V20" i="13"/>
  <c r="W20" i="13"/>
  <c r="V16" i="13"/>
  <c r="W16" i="13"/>
  <c r="W18" i="13"/>
  <c r="W22" i="13"/>
  <c r="V14" i="13"/>
  <c r="W14" i="13"/>
  <c r="W24" i="13"/>
  <c r="M94" i="13"/>
  <c r="K96" i="13"/>
  <c r="K94" i="13"/>
  <c r="K92" i="13"/>
  <c r="I96" i="13"/>
  <c r="I94" i="13"/>
  <c r="I92" i="13"/>
  <c r="G96" i="13"/>
  <c r="G94" i="13"/>
  <c r="G92" i="13"/>
  <c r="M92" i="13"/>
  <c r="E96" i="13"/>
  <c r="E94" i="13"/>
  <c r="E92" i="13"/>
  <c r="L9" i="13"/>
  <c r="AD95" i="13" l="1"/>
  <c r="AD97" i="13" s="1"/>
  <c r="AA95" i="13"/>
  <c r="AA97" i="13" s="1"/>
  <c r="AB97" i="13"/>
  <c r="I29" i="13"/>
  <c r="AC97" i="13"/>
  <c r="AA24" i="13"/>
  <c r="AA26" i="13" s="1"/>
  <c r="AA27" i="13" s="1"/>
  <c r="X22" i="13"/>
  <c r="X24" i="13"/>
  <c r="X18" i="13"/>
  <c r="AG24" i="13"/>
  <c r="AG26" i="13" s="1"/>
  <c r="AG27" i="13" s="1"/>
  <c r="AE26" i="13"/>
  <c r="AE27" i="13" s="1"/>
  <c r="AC26" i="13"/>
  <c r="AC27" i="13" s="1"/>
  <c r="X20" i="13"/>
  <c r="X14" i="13"/>
  <c r="X16" i="13"/>
  <c r="R85" i="13"/>
  <c r="R86" i="13"/>
  <c r="V26" i="13"/>
  <c r="I30" i="13"/>
  <c r="W26" i="13"/>
  <c r="R88" i="13"/>
  <c r="R95" i="13"/>
  <c r="R91" i="13"/>
  <c r="R90" i="13"/>
  <c r="R87" i="13"/>
  <c r="R94" i="13"/>
  <c r="R89" i="13"/>
  <c r="R96" i="13"/>
  <c r="R93" i="13"/>
  <c r="R92" i="13"/>
  <c r="T24" i="13"/>
  <c r="S24" i="13"/>
  <c r="S22" i="13"/>
  <c r="T22" i="13"/>
  <c r="S20" i="13"/>
  <c r="T20" i="13"/>
  <c r="S18" i="13"/>
  <c r="T18" i="13"/>
  <c r="T16" i="13"/>
  <c r="S16" i="13"/>
  <c r="I31" i="13" l="1"/>
  <c r="Y18" i="13"/>
  <c r="S91" i="13"/>
  <c r="T91" i="13"/>
  <c r="T93" i="13"/>
  <c r="S93" i="13"/>
  <c r="S87" i="13"/>
  <c r="T87" i="13"/>
  <c r="S95" i="13"/>
  <c r="T95" i="13"/>
  <c r="S89" i="13"/>
  <c r="T89" i="13"/>
  <c r="S85" i="13"/>
  <c r="T85" i="13"/>
  <c r="U85" i="13"/>
  <c r="Y22" i="13"/>
  <c r="Y24" i="13"/>
  <c r="Y20" i="13"/>
  <c r="X26" i="13"/>
  <c r="Y14" i="13"/>
  <c r="Y16" i="13"/>
  <c r="U95" i="13"/>
  <c r="U93" i="13"/>
  <c r="U91" i="13"/>
  <c r="U89" i="13"/>
  <c r="U87" i="13"/>
  <c r="S26" i="13"/>
  <c r="T26" i="13"/>
  <c r="U97" i="13" l="1"/>
  <c r="T97" i="13"/>
  <c r="S97" i="13"/>
  <c r="Y26" i="13"/>
  <c r="G34" i="12" l="1"/>
  <c r="F34" i="12"/>
  <c r="E34" i="12"/>
  <c r="D34" i="12"/>
  <c r="Q9" i="14" l="1"/>
  <c r="R9" i="13"/>
  <c r="R9" i="14"/>
  <c r="S9" i="13"/>
  <c r="Q7" i="14"/>
  <c r="R7" i="13"/>
  <c r="R7" i="14"/>
  <c r="S7" i="13"/>
  <c r="D35" i="12"/>
  <c r="F35" i="12"/>
  <c r="T9" i="13" l="1"/>
  <c r="T7" i="13"/>
  <c r="S7" i="14"/>
  <c r="S9" i="14"/>
  <c r="S43" i="13" l="1"/>
  <c r="S79" i="13" l="1"/>
  <c r="AA43" i="13"/>
  <c r="AA56" i="13" s="1"/>
  <c r="R43" i="13"/>
  <c r="D4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5" authorId="0" shapeId="0" xr:uid="{00000000-0006-0000-0000-000001000000}">
      <text>
        <r>
          <rPr>
            <b/>
            <sz val="20"/>
            <color indexed="81"/>
            <rFont val="細明體"/>
            <family val="3"/>
            <charset val="136"/>
          </rPr>
          <t>粉紅色欄位為必填項目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5" authorId="0" shapeId="0" xr:uid="{00000000-0006-0000-0100-000001000000}">
      <text>
        <r>
          <rPr>
            <b/>
            <sz val="20"/>
            <color indexed="81"/>
            <rFont val="細明體"/>
            <family val="3"/>
            <charset val="136"/>
          </rPr>
          <t>粉紅色欄位為必填項目</t>
        </r>
      </text>
    </comment>
    <comment ref="D13" authorId="0" shapeId="0" xr:uid="{00000000-0006-0000-0100-000002000000}">
      <text>
        <r>
          <rPr>
            <b/>
            <sz val="14"/>
            <color indexed="81"/>
            <rFont val="微軟正黑體"/>
            <family val="2"/>
            <charset val="136"/>
          </rPr>
          <t>請自行輸入使用版本，或從儲存格右下「▼」選取版本</t>
        </r>
      </text>
    </comment>
    <comment ref="D101" authorId="0" shapeId="0" xr:uid="{00000000-0006-0000-0100-000003000000}">
      <text>
        <r>
          <rPr>
            <b/>
            <sz val="14"/>
            <color indexed="81"/>
            <rFont val="微軟正黑體"/>
            <family val="2"/>
            <charset val="136"/>
          </rPr>
          <t>請自行輸入使用版本，或從儲存格右下「▼」選取版本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4" authorId="0" shapeId="0" xr:uid="{00000000-0006-0000-0200-000001000000}">
      <text>
        <r>
          <rPr>
            <b/>
            <sz val="20"/>
            <color indexed="81"/>
            <rFont val="細明體"/>
            <family val="3"/>
            <charset val="136"/>
          </rPr>
          <t>請不要從「第</t>
        </r>
        <r>
          <rPr>
            <b/>
            <sz val="20"/>
            <color indexed="81"/>
            <rFont val="Tahoma"/>
            <family val="2"/>
          </rPr>
          <t>1</t>
        </r>
        <r>
          <rPr>
            <b/>
            <sz val="20"/>
            <color indexed="81"/>
            <rFont val="細明體"/>
            <family val="3"/>
            <charset val="136"/>
          </rPr>
          <t>列和最後</t>
        </r>
        <r>
          <rPr>
            <b/>
            <sz val="20"/>
            <color indexed="81"/>
            <rFont val="Tahoma"/>
            <family val="2"/>
          </rPr>
          <t>1</t>
        </r>
        <r>
          <rPr>
            <b/>
            <sz val="20"/>
            <color indexed="81"/>
            <rFont val="細明體"/>
            <family val="3"/>
            <charset val="136"/>
          </rPr>
          <t>列」
新增列數，避免影響公式計算</t>
        </r>
      </text>
    </comment>
  </commentList>
</comments>
</file>

<file path=xl/sharedStrings.xml><?xml version="1.0" encoding="utf-8"?>
<sst xmlns="http://schemas.openxmlformats.org/spreadsheetml/2006/main" count="1632" uniqueCount="270">
  <si>
    <t>冊別</t>
  </si>
  <si>
    <t>康軒</t>
  </si>
  <si>
    <t>翰林</t>
  </si>
  <si>
    <t>南一</t>
  </si>
  <si>
    <t>抬頭1</t>
  </si>
  <si>
    <t>抬頭2</t>
  </si>
  <si>
    <t>花蓮縣縣立玉里國中學校與學生用書補助統計</t>
  </si>
  <si>
    <t>審定本</t>
    <phoneticPr fontId="2" type="noConversion"/>
  </si>
  <si>
    <t>藝能科</t>
    <phoneticPr fontId="2" type="noConversion"/>
  </si>
  <si>
    <t>合計</t>
    <phoneticPr fontId="2" type="noConversion"/>
  </si>
  <si>
    <t>翰林</t>
    <phoneticPr fontId="2" type="noConversion"/>
  </si>
  <si>
    <t>南一</t>
    <phoneticPr fontId="2" type="noConversion"/>
  </si>
  <si>
    <t>無</t>
    <phoneticPr fontId="3" type="noConversion"/>
  </si>
  <si>
    <t>何嘉仁</t>
  </si>
  <si>
    <t>課本</t>
  </si>
  <si>
    <t>習作</t>
  </si>
  <si>
    <t>編號</t>
  </si>
  <si>
    <t>類別</t>
  </si>
  <si>
    <t>單本價格</t>
  </si>
  <si>
    <t>國語</t>
  </si>
  <si>
    <t>數學</t>
  </si>
  <si>
    <t>生活</t>
  </si>
  <si>
    <t>健康與體育</t>
  </si>
  <si>
    <t>自然科學</t>
  </si>
  <si>
    <t>綜合活動</t>
  </si>
  <si>
    <t>社會</t>
  </si>
  <si>
    <t>藝術</t>
  </si>
  <si>
    <t>英語</t>
  </si>
  <si>
    <t>數學(乙版)</t>
  </si>
  <si>
    <t>自然與生活科技</t>
  </si>
  <si>
    <t>藝術與人文</t>
  </si>
  <si>
    <t>社會(乙版)</t>
  </si>
  <si>
    <t>教育部補助(學生用書)</t>
  </si>
  <si>
    <t>花東書籍費及縣補助</t>
  </si>
  <si>
    <t>學習領域(科)</t>
  </si>
  <si>
    <r>
      <rPr>
        <sz val="12"/>
        <rFont val="標楷體"/>
        <family val="4"/>
        <charset val="136"/>
      </rPr>
      <t>適用
年級</t>
    </r>
  </si>
  <si>
    <t>康軒</t>
    <phoneticPr fontId="2" type="noConversion"/>
  </si>
  <si>
    <t>學校名稱</t>
    <phoneticPr fontId="19" type="noConversion"/>
  </si>
  <si>
    <t>花東書籍費補助基本資料</t>
    <phoneticPr fontId="19" type="noConversion"/>
  </si>
  <si>
    <t>花東補助學生身分別資料</t>
    <phoneticPr fontId="19" type="noConversion"/>
  </si>
  <si>
    <t>年級</t>
    <phoneticPr fontId="19" type="noConversion"/>
  </si>
  <si>
    <t>合計</t>
    <phoneticPr fontId="19" type="noConversion"/>
  </si>
  <si>
    <t>低收入戶</t>
    <phoneticPr fontId="19" type="noConversion"/>
  </si>
  <si>
    <t>中低收入戶</t>
    <phoneticPr fontId="19" type="noConversion"/>
  </si>
  <si>
    <t>年級人數</t>
    <phoneticPr fontId="19" type="noConversion"/>
  </si>
  <si>
    <t>男</t>
    <phoneticPr fontId="19" type="noConversion"/>
  </si>
  <si>
    <t>女</t>
    <phoneticPr fontId="19" type="noConversion"/>
  </si>
  <si>
    <t>審定本補助人數</t>
    <phoneticPr fontId="19" type="noConversion"/>
  </si>
  <si>
    <t>生活</t>
    <phoneticPr fontId="2" type="noConversion"/>
  </si>
  <si>
    <t>國語</t>
    <phoneticPr fontId="2" type="noConversion"/>
  </si>
  <si>
    <t>數學</t>
    <phoneticPr fontId="2" type="noConversion"/>
  </si>
  <si>
    <t>社會</t>
    <phoneticPr fontId="2" type="noConversion"/>
  </si>
  <si>
    <t>英語</t>
    <phoneticPr fontId="2" type="noConversion"/>
  </si>
  <si>
    <t>課本</t>
    <phoneticPr fontId="2" type="noConversion"/>
  </si>
  <si>
    <t>習作</t>
    <phoneticPr fontId="2" type="noConversion"/>
  </si>
  <si>
    <t>一年級</t>
    <phoneticPr fontId="2" type="noConversion"/>
  </si>
  <si>
    <t>二年級</t>
    <phoneticPr fontId="2" type="noConversion"/>
  </si>
  <si>
    <t>三年級</t>
    <phoneticPr fontId="2" type="noConversion"/>
  </si>
  <si>
    <t>四年級</t>
    <phoneticPr fontId="2" type="noConversion"/>
  </si>
  <si>
    <t>五年級</t>
    <phoneticPr fontId="2" type="noConversion"/>
  </si>
  <si>
    <t>六年級</t>
    <phoneticPr fontId="2" type="noConversion"/>
  </si>
  <si>
    <t>補助對象：本縣公立國民中小學之學生。</t>
    <phoneticPr fontId="2" type="noConversion"/>
  </si>
  <si>
    <t>2.統計表正本及原始憑證留校備查。</t>
    <phoneticPr fontId="2" type="noConversion"/>
  </si>
  <si>
    <t>承辦人：</t>
    <phoneticPr fontId="2" type="noConversion"/>
  </si>
  <si>
    <t>教務(導)主任：</t>
    <phoneticPr fontId="2" type="noConversion"/>
  </si>
  <si>
    <t>會計人員：</t>
    <phoneticPr fontId="2" type="noConversion"/>
  </si>
  <si>
    <t>校長：</t>
    <phoneticPr fontId="2" type="noConversion"/>
  </si>
  <si>
    <t>全校學生數</t>
    <phoneticPr fontId="19" type="noConversion"/>
  </si>
  <si>
    <t>版本</t>
    <phoneticPr fontId="2" type="noConversion"/>
  </si>
  <si>
    <t>金額</t>
  </si>
  <si>
    <t>金額</t>
    <phoneticPr fontId="2" type="noConversion"/>
  </si>
  <si>
    <t>全校班級數</t>
    <phoneticPr fontId="2" type="noConversion"/>
  </si>
  <si>
    <t>英語(D版)</t>
  </si>
  <si>
    <t>英語(C版)</t>
  </si>
  <si>
    <t>英語(B版)</t>
  </si>
  <si>
    <r>
      <t>班級學生調查表（</t>
    </r>
    <r>
      <rPr>
        <sz val="20"/>
        <color indexed="10"/>
        <rFont val="標楷體"/>
        <family val="4"/>
        <charset val="136"/>
      </rPr>
      <t>Ｂ表</t>
    </r>
    <r>
      <rPr>
        <sz val="20"/>
        <rFont val="標楷體"/>
        <family val="4"/>
        <charset val="136"/>
      </rPr>
      <t xml:space="preserve">）   </t>
    </r>
    <r>
      <rPr>
        <sz val="14"/>
        <rFont val="標楷體"/>
        <family val="4"/>
        <charset val="136"/>
      </rPr>
      <t>皆為必填欄位</t>
    </r>
    <phoneticPr fontId="2" type="noConversion"/>
  </si>
  <si>
    <t>班級</t>
    <phoneticPr fontId="2" type="noConversion"/>
  </si>
  <si>
    <t>導師姓名</t>
    <phoneticPr fontId="2" type="noConversion"/>
  </si>
  <si>
    <t>學生姓名</t>
    <phoneticPr fontId="2" type="noConversion"/>
  </si>
  <si>
    <t>性別
(是=1,否=0)</t>
    <phoneticPr fontId="2" type="noConversion"/>
  </si>
  <si>
    <t>學生身分
(是=1,否=0)</t>
    <phoneticPr fontId="2" type="noConversion"/>
  </si>
  <si>
    <t>男</t>
    <phoneticPr fontId="2" type="noConversion"/>
  </si>
  <si>
    <t>女</t>
    <phoneticPr fontId="2" type="noConversion"/>
  </si>
  <si>
    <t>低收</t>
    <phoneticPr fontId="2" type="noConversion"/>
  </si>
  <si>
    <t>中低收</t>
    <phoneticPr fontId="2" type="noConversion"/>
  </si>
  <si>
    <t>(自行增列)</t>
    <phoneticPr fontId="2" type="noConversion"/>
  </si>
  <si>
    <t>合計</t>
    <phoneticPr fontId="2" type="noConversion"/>
  </si>
  <si>
    <t>註.有關「學生身分別」欄，請擇一身分統計，切勿重複。</t>
    <phoneticPr fontId="2" type="noConversion"/>
  </si>
  <si>
    <t>版本</t>
  </si>
  <si>
    <t>→→→</t>
    <phoneticPr fontId="2" type="noConversion"/>
  </si>
  <si>
    <t>學生用書</t>
    <phoneticPr fontId="2" type="noConversion"/>
  </si>
  <si>
    <t>自然</t>
    <phoneticPr fontId="2" type="noConversion"/>
  </si>
  <si>
    <t>一、基本資料</t>
    <phoneticPr fontId="19" type="noConversion"/>
  </si>
  <si>
    <r>
      <t>二、花東</t>
    </r>
    <r>
      <rPr>
        <b/>
        <sz val="14"/>
        <color rgb="FFFF0000"/>
        <rFont val="新細明體"/>
        <family val="1"/>
        <charset val="136"/>
      </rPr>
      <t>A表</t>
    </r>
    <phoneticPr fontId="19" type="noConversion"/>
  </si>
  <si>
    <t>補助版本：經教育部採購議價通過之審定本及藝能科教科書。</t>
    <phoneticPr fontId="2" type="noConversion"/>
  </si>
  <si>
    <t>藝能科教科書補助合計</t>
    <phoneticPr fontId="2" type="noConversion"/>
  </si>
  <si>
    <t>審定本教科書補助合計</t>
    <phoneticPr fontId="2" type="noConversion"/>
  </si>
  <si>
    <t>六</t>
    <phoneticPr fontId="2" type="noConversion"/>
  </si>
  <si>
    <t>五</t>
    <phoneticPr fontId="2" type="noConversion"/>
  </si>
  <si>
    <t>四</t>
    <phoneticPr fontId="2" type="noConversion"/>
  </si>
  <si>
    <t>三</t>
    <phoneticPr fontId="2" type="noConversion"/>
  </si>
  <si>
    <t>二</t>
    <phoneticPr fontId="2" type="noConversion"/>
  </si>
  <si>
    <t>一</t>
    <phoneticPr fontId="2" type="noConversion"/>
  </si>
  <si>
    <r>
      <rPr>
        <sz val="12"/>
        <color theme="1"/>
        <rFont val="標楷體"/>
        <family val="4"/>
        <charset val="136"/>
      </rPr>
      <t>藝術</t>
    </r>
    <r>
      <rPr>
        <sz val="10"/>
        <color theme="1"/>
        <rFont val="標楷體"/>
        <family val="4"/>
        <charset val="136"/>
      </rPr>
      <t xml:space="preserve">
</t>
    </r>
    <r>
      <rPr>
        <sz val="8"/>
        <color theme="1"/>
        <rFont val="標楷體"/>
        <family val="4"/>
        <charset val="136"/>
      </rPr>
      <t>(與人文)</t>
    </r>
    <phoneticPr fontId="2" type="noConversion"/>
  </si>
  <si>
    <t>綜合</t>
    <phoneticPr fontId="2" type="noConversion"/>
  </si>
  <si>
    <t>健體</t>
    <phoneticPr fontId="2" type="noConversion"/>
  </si>
  <si>
    <r>
      <t xml:space="preserve">藝術
</t>
    </r>
    <r>
      <rPr>
        <sz val="9"/>
        <color theme="1"/>
        <rFont val="標楷體"/>
        <family val="4"/>
        <charset val="136"/>
      </rPr>
      <t>(與人文)</t>
    </r>
    <phoneticPr fontId="2" type="noConversion"/>
  </si>
  <si>
    <t>一</t>
    <phoneticPr fontId="19" type="noConversion"/>
  </si>
  <si>
    <t>二</t>
    <phoneticPr fontId="19" type="noConversion"/>
  </si>
  <si>
    <t>三</t>
    <phoneticPr fontId="19" type="noConversion"/>
  </si>
  <si>
    <t>四</t>
    <phoneticPr fontId="19" type="noConversion"/>
  </si>
  <si>
    <t>五</t>
    <phoneticPr fontId="19" type="noConversion"/>
  </si>
  <si>
    <t>六</t>
    <phoneticPr fontId="19" type="noConversion"/>
  </si>
  <si>
    <r>
      <rPr>
        <sz val="12"/>
        <color rgb="FFFF0000"/>
        <rFont val="標楷體"/>
        <family val="4"/>
        <charset val="136"/>
      </rPr>
      <t>特教生/補校生</t>
    </r>
    <r>
      <rPr>
        <sz val="12"/>
        <color theme="1"/>
        <rFont val="標楷體"/>
        <family val="4"/>
        <charset val="136"/>
      </rPr>
      <t>使用審定本教科書補助金額</t>
    </r>
    <r>
      <rPr>
        <sz val="12"/>
        <color indexed="8"/>
        <rFont val="標楷體"/>
        <family val="4"/>
        <charset val="136"/>
      </rPr>
      <t>(B)</t>
    </r>
    <phoneticPr fontId="2" type="noConversion"/>
  </si>
  <si>
    <t>縣補助金額總計(A+B)</t>
    <phoneticPr fontId="2" type="noConversion"/>
  </si>
  <si>
    <t>三、審定本</t>
    <phoneticPr fontId="2" type="noConversion"/>
  </si>
  <si>
    <t>項目</t>
    <phoneticPr fontId="2" type="noConversion"/>
  </si>
  <si>
    <t>每人補助金額(a)</t>
    <phoneticPr fontId="2" type="noConversion"/>
  </si>
  <si>
    <t>三+四</t>
    <phoneticPr fontId="2" type="noConversion"/>
  </si>
  <si>
    <r>
      <t xml:space="preserve">縣補助
</t>
    </r>
    <r>
      <rPr>
        <sz val="12"/>
        <color indexed="8"/>
        <rFont val="標楷體"/>
        <family val="4"/>
        <charset val="136"/>
      </rPr>
      <t>金額小計</t>
    </r>
    <phoneticPr fontId="2" type="noConversion"/>
  </si>
  <si>
    <t>(a)*年級審定本補助人數</t>
    <phoneticPr fontId="2" type="noConversion"/>
  </si>
  <si>
    <t>(a)*年級低收中低收人數</t>
    <phoneticPr fontId="2" type="noConversion"/>
  </si>
  <si>
    <t>花東補助學生
男</t>
    <phoneticPr fontId="19" type="noConversion"/>
  </si>
  <si>
    <t>花東補助學生
女</t>
    <phoneticPr fontId="19" type="noConversion"/>
  </si>
  <si>
    <r>
      <t>四、藝能科(</t>
    </r>
    <r>
      <rPr>
        <b/>
        <sz val="12"/>
        <color rgb="FFFF0000"/>
        <rFont val="細明體"/>
        <family val="3"/>
        <charset val="136"/>
      </rPr>
      <t>列入</t>
    </r>
    <r>
      <rPr>
        <b/>
        <sz val="12"/>
        <color theme="1"/>
        <rFont val="細明體"/>
        <family val="3"/>
        <charset val="136"/>
      </rPr>
      <t>花東書籍費)</t>
    </r>
    <phoneticPr fontId="2" type="noConversion"/>
  </si>
  <si>
    <r>
      <t>※本表適用</t>
    </r>
    <r>
      <rPr>
        <sz val="22"/>
        <color rgb="FFFF0000"/>
        <rFont val="標楷體"/>
        <family val="4"/>
        <charset val="136"/>
      </rPr>
      <t>藝能科全數汰換</t>
    </r>
    <r>
      <rPr>
        <sz val="22"/>
        <color theme="1"/>
        <rFont val="標楷體"/>
        <family val="4"/>
        <charset val="136"/>
      </rPr>
      <t>學校</t>
    </r>
    <phoneticPr fontId="2" type="noConversion"/>
  </si>
  <si>
    <t>驗算式(免印)</t>
    <phoneticPr fontId="2" type="noConversion"/>
  </si>
  <si>
    <t>何嘉仁</t>
    <phoneticPr fontId="2" type="noConversion"/>
  </si>
  <si>
    <t>康軒</t>
    <phoneticPr fontId="2" type="noConversion"/>
  </si>
  <si>
    <t>翰林</t>
    <phoneticPr fontId="2" type="noConversion"/>
  </si>
  <si>
    <t>康軒 Hello,Kids!</t>
    <phoneticPr fontId="2" type="noConversion"/>
  </si>
  <si>
    <t>花東書籍費補助金額</t>
    <phoneticPr fontId="2" type="noConversion"/>
  </si>
  <si>
    <t>康軒 Hello,Kids!</t>
    <phoneticPr fontId="2" type="noConversion"/>
  </si>
  <si>
    <t>康軒 Follow Me.</t>
    <phoneticPr fontId="2" type="noConversion"/>
  </si>
  <si>
    <t>何嘉仁 eSTAR</t>
    <phoneticPr fontId="2" type="noConversion"/>
  </si>
  <si>
    <t>何嘉仁 Story.com</t>
    <phoneticPr fontId="2" type="noConversion"/>
  </si>
  <si>
    <t>縣補助</t>
    <phoneticPr fontId="2" type="noConversion"/>
  </si>
  <si>
    <t>花東</t>
    <phoneticPr fontId="2" type="noConversion"/>
  </si>
  <si>
    <t>各版本金額(免印)</t>
    <phoneticPr fontId="2" type="noConversion"/>
  </si>
  <si>
    <t>總計</t>
    <phoneticPr fontId="2" type="noConversion"/>
  </si>
  <si>
    <t>學校用書(教師用及行政留存)</t>
    <phoneticPr fontId="2" type="noConversion"/>
  </si>
  <si>
    <t>單本價格</t>
    <phoneticPr fontId="2" type="noConversion"/>
  </si>
  <si>
    <r>
      <rPr>
        <b/>
        <sz val="11"/>
        <color theme="1"/>
        <rFont val="標楷體"/>
        <family val="4"/>
        <charset val="136"/>
      </rPr>
      <t>學校用書</t>
    </r>
    <r>
      <rPr>
        <sz val="11"/>
        <color theme="1"/>
        <rFont val="標楷體"/>
        <family val="4"/>
        <charset val="136"/>
      </rPr>
      <t>補助(本)</t>
    </r>
    <phoneticPr fontId="2" type="noConversion"/>
  </si>
  <si>
    <t>學校用書</t>
    <phoneticPr fontId="2" type="noConversion"/>
  </si>
  <si>
    <t>康軒 Follow Me.</t>
    <phoneticPr fontId="2" type="noConversion"/>
  </si>
  <si>
    <t>何嘉仁 Story.com</t>
    <phoneticPr fontId="2" type="noConversion"/>
  </si>
  <si>
    <t>何嘉仁 eSTAR</t>
    <phoneticPr fontId="2" type="noConversion"/>
  </si>
  <si>
    <t>學生用書</t>
    <phoneticPr fontId="2" type="noConversion"/>
  </si>
  <si>
    <t>康軒 Hello,Kids!</t>
    <phoneticPr fontId="2" type="noConversion"/>
  </si>
  <si>
    <r>
      <t>※黃色及粉紅色欄位請</t>
    </r>
    <r>
      <rPr>
        <b/>
        <u/>
        <sz val="22"/>
        <color theme="1"/>
        <rFont val="標楷體"/>
        <family val="4"/>
        <charset val="136"/>
      </rPr>
      <t>務必</t>
    </r>
    <r>
      <rPr>
        <sz val="22"/>
        <color theme="1"/>
        <rFont val="標楷體"/>
        <family val="4"/>
        <charset val="136"/>
      </rPr>
      <t>填寫。</t>
    </r>
    <phoneticPr fontId="2" type="noConversion"/>
  </si>
  <si>
    <t>補助金額</t>
    <phoneticPr fontId="2" type="noConversion"/>
  </si>
  <si>
    <r>
      <t>年級</t>
    </r>
    <r>
      <rPr>
        <b/>
        <sz val="11"/>
        <color theme="1"/>
        <rFont val="標楷體"/>
        <family val="4"/>
        <charset val="136"/>
      </rPr>
      <t>學校用書</t>
    </r>
    <r>
      <rPr>
        <sz val="11"/>
        <color theme="1"/>
        <rFont val="標楷體"/>
        <family val="4"/>
        <charset val="136"/>
      </rPr>
      <t>金額合計</t>
    </r>
    <phoneticPr fontId="2" type="noConversion"/>
  </si>
  <si>
    <t>需求(本)</t>
    <phoneticPr fontId="2" type="noConversion"/>
  </si>
  <si>
    <t>補助(本)</t>
    <phoneticPr fontId="2" type="noConversion"/>
  </si>
  <si>
    <t>版本</t>
    <phoneticPr fontId="2" type="noConversion"/>
  </si>
  <si>
    <t>金額</t>
    <phoneticPr fontId="2" type="noConversion"/>
  </si>
  <si>
    <t>低收入戶及中低收入戶人數</t>
    <phoneticPr fontId="19" type="noConversion"/>
  </si>
  <si>
    <t>　        科目
 年級</t>
    <phoneticPr fontId="2" type="noConversion"/>
  </si>
  <si>
    <t>　         科目
 年級</t>
    <phoneticPr fontId="2" type="noConversion"/>
  </si>
  <si>
    <t>低收入及中低收入學生之學生用書合計</t>
    <phoneticPr fontId="2" type="noConversion"/>
  </si>
  <si>
    <t>一般生之學生用書合計</t>
    <phoneticPr fontId="2" type="noConversion"/>
  </si>
  <si>
    <t>學生用書每人補助</t>
    <phoneticPr fontId="2" type="noConversion"/>
  </si>
  <si>
    <t>年級學生用書合計</t>
    <phoneticPr fontId="2" type="noConversion"/>
  </si>
  <si>
    <t>一、基本資料</t>
    <phoneticPr fontId="19" type="noConversion"/>
  </si>
  <si>
    <t>學校名稱</t>
    <phoneticPr fontId="19" type="noConversion"/>
  </si>
  <si>
    <t>花東書籍費補助基本資料</t>
    <phoneticPr fontId="19" type="noConversion"/>
  </si>
  <si>
    <t>花東補助學生身分別資料</t>
    <phoneticPr fontId="19" type="noConversion"/>
  </si>
  <si>
    <t>年級</t>
    <phoneticPr fontId="19" type="noConversion"/>
  </si>
  <si>
    <t>一年級</t>
    <phoneticPr fontId="19" type="noConversion"/>
  </si>
  <si>
    <t>二年級</t>
    <phoneticPr fontId="19" type="noConversion"/>
  </si>
  <si>
    <t>三年級</t>
    <phoneticPr fontId="19" type="noConversion"/>
  </si>
  <si>
    <t>四年級</t>
    <phoneticPr fontId="19" type="noConversion"/>
  </si>
  <si>
    <t>五年級</t>
    <phoneticPr fontId="19" type="noConversion"/>
  </si>
  <si>
    <t>六年級</t>
    <phoneticPr fontId="19" type="noConversion"/>
  </si>
  <si>
    <t>合計</t>
    <phoneticPr fontId="19" type="noConversion"/>
  </si>
  <si>
    <t>全校班級數</t>
    <phoneticPr fontId="2" type="noConversion"/>
  </si>
  <si>
    <t>低收入戶</t>
    <phoneticPr fontId="19" type="noConversion"/>
  </si>
  <si>
    <t>中低收入戶</t>
    <phoneticPr fontId="19" type="noConversion"/>
  </si>
  <si>
    <t>年級人數</t>
    <phoneticPr fontId="19" type="noConversion"/>
  </si>
  <si>
    <t>全校學生數</t>
    <phoneticPr fontId="19" type="noConversion"/>
  </si>
  <si>
    <t>低收入戶及中低收入戶人數</t>
    <phoneticPr fontId="19" type="noConversion"/>
  </si>
  <si>
    <t>男</t>
    <phoneticPr fontId="19" type="noConversion"/>
  </si>
  <si>
    <t>女</t>
    <phoneticPr fontId="19" type="noConversion"/>
  </si>
  <si>
    <t>合計</t>
    <phoneticPr fontId="19" type="noConversion"/>
  </si>
  <si>
    <t>審定本補助人數</t>
    <phoneticPr fontId="19" type="noConversion"/>
  </si>
  <si>
    <t>三、審定本</t>
    <phoneticPr fontId="19" type="noConversion"/>
  </si>
  <si>
    <t>生活</t>
    <phoneticPr fontId="2" type="noConversion"/>
  </si>
  <si>
    <t>國語</t>
    <phoneticPr fontId="2" type="noConversion"/>
  </si>
  <si>
    <t>數學</t>
    <phoneticPr fontId="2" type="noConversion"/>
  </si>
  <si>
    <t>英語</t>
    <phoneticPr fontId="2" type="noConversion"/>
  </si>
  <si>
    <t>每人補助金額</t>
    <phoneticPr fontId="2" type="noConversion"/>
  </si>
  <si>
    <t>課本</t>
    <phoneticPr fontId="2" type="noConversion"/>
  </si>
  <si>
    <t>習作</t>
    <phoneticPr fontId="2" type="noConversion"/>
  </si>
  <si>
    <t>一年級</t>
    <phoneticPr fontId="2" type="noConversion"/>
  </si>
  <si>
    <t>二年級</t>
    <phoneticPr fontId="2" type="noConversion"/>
  </si>
  <si>
    <t>三年級</t>
    <phoneticPr fontId="2" type="noConversion"/>
  </si>
  <si>
    <t>四年級</t>
    <phoneticPr fontId="2" type="noConversion"/>
  </si>
  <si>
    <t>五年級</t>
    <phoneticPr fontId="2" type="noConversion"/>
  </si>
  <si>
    <t>六年級</t>
    <phoneticPr fontId="2" type="noConversion"/>
  </si>
  <si>
    <t>四、藝能科(未列入花東書籍費)</t>
    <phoneticPr fontId="19" type="noConversion"/>
  </si>
  <si>
    <t>藝能科補助合計</t>
    <phoneticPr fontId="2" type="noConversion"/>
  </si>
  <si>
    <t>一年級</t>
    <phoneticPr fontId="2" type="noConversion"/>
  </si>
  <si>
    <t>四年級</t>
    <phoneticPr fontId="2" type="noConversion"/>
  </si>
  <si>
    <t>五年級</t>
    <phoneticPr fontId="2" type="noConversion"/>
  </si>
  <si>
    <t>六年級</t>
    <phoneticPr fontId="2" type="noConversion"/>
  </si>
  <si>
    <t>補助對象：本縣公立國民中小學之學生。</t>
    <phoneticPr fontId="2" type="noConversion"/>
  </si>
  <si>
    <t>補助版本：經教育部採購議價通過之審定本及藝能科教科書(如單價表)。</t>
    <phoneticPr fontId="2" type="noConversion"/>
  </si>
  <si>
    <t>2.統計表正本及原始憑證留校備查。</t>
    <phoneticPr fontId="2" type="noConversion"/>
  </si>
  <si>
    <t>3.本統計表各版本單價已預先扣除教育部補助公立學校學生用書金額。</t>
    <phoneticPr fontId="2" type="noConversion"/>
  </si>
  <si>
    <t>承辦人：</t>
    <phoneticPr fontId="2" type="noConversion"/>
  </si>
  <si>
    <t>教務(導)主任：</t>
    <phoneticPr fontId="2" type="noConversion"/>
  </si>
  <si>
    <t>會計人員：</t>
    <phoneticPr fontId="2" type="noConversion"/>
  </si>
  <si>
    <t>校長：</t>
    <phoneticPr fontId="2" type="noConversion"/>
  </si>
  <si>
    <r>
      <t>審定本
補助小計</t>
    </r>
    <r>
      <rPr>
        <b/>
        <sz val="12"/>
        <color rgb="FF0000FF"/>
        <rFont val="標楷體"/>
        <family val="4"/>
        <charset val="136"/>
      </rPr>
      <t>(A)</t>
    </r>
    <phoneticPr fontId="2" type="noConversion"/>
  </si>
  <si>
    <r>
      <rPr>
        <b/>
        <sz val="12"/>
        <rFont val="標楷體"/>
        <family val="4"/>
        <charset val="136"/>
      </rPr>
      <t>花東書籍費</t>
    </r>
    <r>
      <rPr>
        <sz val="12"/>
        <rFont val="標楷體"/>
        <family val="4"/>
        <charset val="136"/>
      </rPr>
      <t xml:space="preserve">
補助小計</t>
    </r>
    <phoneticPr fontId="2" type="noConversion"/>
  </si>
  <si>
    <r>
      <t>健體</t>
    </r>
    <r>
      <rPr>
        <sz val="12"/>
        <color theme="1"/>
        <rFont val="標楷體"/>
        <family val="4"/>
        <charset val="136"/>
      </rPr>
      <t>課本</t>
    </r>
    <phoneticPr fontId="2" type="noConversion"/>
  </si>
  <si>
    <r>
      <t>綜合</t>
    </r>
    <r>
      <rPr>
        <sz val="12"/>
        <color theme="1"/>
        <rFont val="標楷體"/>
        <family val="4"/>
        <charset val="136"/>
      </rPr>
      <t>課本</t>
    </r>
    <phoneticPr fontId="2" type="noConversion"/>
  </si>
  <si>
    <r>
      <t>藝術</t>
    </r>
    <r>
      <rPr>
        <b/>
        <sz val="9"/>
        <color theme="1"/>
        <rFont val="標楷體"/>
        <family val="4"/>
        <charset val="136"/>
      </rPr>
      <t>(與人文)</t>
    </r>
    <r>
      <rPr>
        <sz val="11"/>
        <color theme="1"/>
        <rFont val="標楷體"/>
        <family val="4"/>
        <charset val="136"/>
      </rPr>
      <t>課本</t>
    </r>
    <phoneticPr fontId="2" type="noConversion"/>
  </si>
  <si>
    <r>
      <t>縣補助總計</t>
    </r>
    <r>
      <rPr>
        <b/>
        <sz val="12"/>
        <color rgb="FF0000FF"/>
        <rFont val="標楷體"/>
        <family val="4"/>
        <charset val="136"/>
      </rPr>
      <t>(A)+(B)+(C)</t>
    </r>
    <phoneticPr fontId="19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</si>
  <si>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</si>
  <si>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</si>
  <si>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</si>
  <si>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</si>
  <si>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</si>
  <si>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六</t>
    <phoneticPr fontId="2" type="noConversion"/>
  </si>
  <si>
    <t>　    科目
 年級</t>
    <phoneticPr fontId="2" type="noConversion"/>
  </si>
  <si>
    <t>※花東補助學生身分別資料連結至花東B表資料，請務必填妥花東B表。</t>
    <phoneticPr fontId="2" type="noConversion"/>
  </si>
  <si>
    <t>翰林</t>
    <phoneticPr fontId="2" type="noConversion"/>
  </si>
  <si>
    <t>南一</t>
    <phoneticPr fontId="2" type="noConversion"/>
  </si>
  <si>
    <t>何嘉仁</t>
    <phoneticPr fontId="2" type="noConversion"/>
  </si>
  <si>
    <t xml:space="preserve">  　      科目
 年級</t>
    <phoneticPr fontId="2" type="noConversion"/>
  </si>
  <si>
    <t>　        科目
 年級</t>
    <phoneticPr fontId="2" type="noConversion"/>
  </si>
  <si>
    <t>版本</t>
    <phoneticPr fontId="2" type="noConversion"/>
  </si>
  <si>
    <t>金額</t>
    <phoneticPr fontId="2" type="noConversion"/>
  </si>
  <si>
    <t>需求數</t>
    <phoneticPr fontId="2" type="noConversion"/>
  </si>
  <si>
    <t>小計</t>
    <phoneticPr fontId="2" type="noConversion"/>
  </si>
  <si>
    <t>各版本金額(免印)</t>
    <phoneticPr fontId="2" type="noConversion"/>
  </si>
  <si>
    <t>審定本</t>
    <phoneticPr fontId="2" type="noConversion"/>
  </si>
  <si>
    <r>
      <rPr>
        <b/>
        <sz val="12"/>
        <color rgb="FF0000FF"/>
        <rFont val="標楷體"/>
        <family val="4"/>
        <charset val="136"/>
      </rPr>
      <t>特教生/補校生</t>
    </r>
    <r>
      <rPr>
        <b/>
        <sz val="12"/>
        <rFont val="標楷體"/>
        <family val="4"/>
        <charset val="136"/>
      </rPr>
      <t>使用</t>
    </r>
    <r>
      <rPr>
        <sz val="12"/>
        <rFont val="標楷體"/>
        <family val="4"/>
        <charset val="136"/>
      </rPr>
      <t>審定本教科書補助金額</t>
    </r>
    <r>
      <rPr>
        <b/>
        <sz val="12"/>
        <color rgb="FF0000FF"/>
        <rFont val="標楷體"/>
        <family val="4"/>
        <charset val="136"/>
      </rPr>
      <t>(B)</t>
    </r>
    <phoneticPr fontId="19" type="noConversion"/>
  </si>
  <si>
    <r>
      <rPr>
        <b/>
        <sz val="12"/>
        <color theme="1"/>
        <rFont val="標楷體"/>
        <family val="4"/>
        <charset val="136"/>
      </rPr>
      <t>審定本</t>
    </r>
    <r>
      <rPr>
        <sz val="12"/>
        <color theme="1"/>
        <rFont val="標楷體"/>
        <family val="4"/>
        <charset val="136"/>
      </rPr>
      <t>補助總計</t>
    </r>
    <r>
      <rPr>
        <sz val="12"/>
        <color rgb="FF0000FF"/>
        <rFont val="標楷體"/>
        <family val="4"/>
        <charset val="136"/>
      </rPr>
      <t>(A)</t>
    </r>
    <phoneticPr fontId="19" type="noConversion"/>
  </si>
  <si>
    <r>
      <rPr>
        <b/>
        <sz val="12"/>
        <color theme="1"/>
        <rFont val="標楷體"/>
        <family val="4"/>
        <charset val="136"/>
      </rPr>
      <t>藝能科</t>
    </r>
    <r>
      <rPr>
        <sz val="12"/>
        <color theme="1"/>
        <rFont val="標楷體"/>
        <family val="4"/>
        <charset val="136"/>
      </rPr>
      <t>補助合計總和</t>
    </r>
    <r>
      <rPr>
        <sz val="12"/>
        <color rgb="FF0000FF"/>
        <rFont val="標楷體"/>
        <family val="4"/>
        <charset val="136"/>
      </rPr>
      <t>(C)</t>
    </r>
    <phoneticPr fontId="19" type="noConversion"/>
  </si>
  <si>
    <t>藝能科</t>
    <phoneticPr fontId="2" type="noConversion"/>
  </si>
  <si>
    <t>總計</t>
    <phoneticPr fontId="2" type="noConversion"/>
  </si>
  <si>
    <r>
      <t>※本表適用</t>
    </r>
    <r>
      <rPr>
        <sz val="18"/>
        <color rgb="FFFF0000"/>
        <rFont val="新細明體"/>
        <family val="1"/>
        <charset val="136"/>
      </rPr>
      <t>藝能科汰換年度相反</t>
    </r>
    <r>
      <rPr>
        <sz val="18"/>
        <color theme="1"/>
        <rFont val="新細明體"/>
        <family val="1"/>
        <charset val="136"/>
      </rPr>
      <t>學校</t>
    </r>
    <phoneticPr fontId="2" type="noConversion"/>
  </si>
  <si>
    <r>
      <t>※黃色及粉紅色欄位請</t>
    </r>
    <r>
      <rPr>
        <b/>
        <u/>
        <sz val="18"/>
        <color theme="1"/>
        <rFont val="新細明體"/>
        <family val="1"/>
        <charset val="136"/>
      </rPr>
      <t>務必</t>
    </r>
    <r>
      <rPr>
        <sz val="18"/>
        <color theme="1"/>
        <rFont val="新細明體"/>
        <family val="1"/>
        <charset val="136"/>
      </rPr>
      <t>填寫。</t>
    </r>
    <phoneticPr fontId="2" type="noConversion"/>
  </si>
  <si>
    <t>學校用書(教師用及行政留存)</t>
    <phoneticPr fontId="2" type="noConversion"/>
  </si>
  <si>
    <t>學生用書(本項經費由板橋國小統一撥予書商)</t>
    <phoneticPr fontId="2" type="noConversion"/>
  </si>
  <si>
    <r>
      <rPr>
        <b/>
        <sz val="10"/>
        <color theme="1"/>
        <rFont val="標楷體"/>
        <family val="4"/>
        <charset val="136"/>
      </rPr>
      <t>學生用書</t>
    </r>
    <r>
      <rPr>
        <sz val="10"/>
        <color theme="1"/>
        <rFont val="標楷體"/>
        <family val="4"/>
        <charset val="136"/>
      </rPr>
      <t>每人補助金額</t>
    </r>
    <phoneticPr fontId="2" type="noConversion"/>
  </si>
  <si>
    <r>
      <t xml:space="preserve">花東書籍費
</t>
    </r>
    <r>
      <rPr>
        <b/>
        <sz val="10"/>
        <rFont val="標楷體"/>
        <family val="4"/>
        <charset val="136"/>
      </rPr>
      <t>學生用書</t>
    </r>
    <r>
      <rPr>
        <sz val="10"/>
        <rFont val="標楷體"/>
        <family val="4"/>
        <charset val="136"/>
      </rPr>
      <t>補助小計</t>
    </r>
    <phoneticPr fontId="2" type="noConversion"/>
  </si>
  <si>
    <t>審定本學生用書分攤總計</t>
  </si>
  <si>
    <t>藝能科學生用書補助總計</t>
  </si>
  <si>
    <t>花東書籍費學生用書補助總計</t>
  </si>
  <si>
    <t>學生用書總計</t>
  </si>
  <si>
    <r>
      <t>審定本</t>
    </r>
    <r>
      <rPr>
        <b/>
        <sz val="11"/>
        <color theme="1"/>
        <rFont val="標楷體"/>
        <family val="4"/>
        <charset val="136"/>
      </rPr>
      <t>學生用書</t>
    </r>
    <r>
      <rPr>
        <sz val="11"/>
        <color theme="1"/>
        <rFont val="標楷體"/>
        <family val="4"/>
        <charset val="136"/>
      </rPr>
      <t xml:space="preserve">
補助小計</t>
    </r>
    <r>
      <rPr>
        <b/>
        <sz val="11"/>
        <color rgb="FF0000FF"/>
        <rFont val="標楷體"/>
        <family val="4"/>
        <charset val="136"/>
      </rPr>
      <t>(A)</t>
    </r>
    <phoneticPr fontId="2" type="noConversion"/>
  </si>
  <si>
    <t>各版本學生用書金額(免印)</t>
    <phoneticPr fontId="2" type="noConversion"/>
  </si>
  <si>
    <t>適用年級</t>
  </si>
  <si>
    <t>藝術</t>
    <phoneticPr fontId="2" type="noConversion"/>
  </si>
  <si>
    <t>樣書(本)</t>
    <phoneticPr fontId="2" type="noConversion"/>
  </si>
  <si>
    <r>
      <t>※補助數量計算方式為</t>
    </r>
    <r>
      <rPr>
        <b/>
        <sz val="12"/>
        <color rgb="FFFF0000"/>
        <rFont val="標楷體"/>
        <family val="4"/>
        <charset val="136"/>
      </rPr>
      <t>「需求數量-樣書數量=補助數量」</t>
    </r>
    <r>
      <rPr>
        <sz val="12"/>
        <rFont val="標楷體"/>
        <family val="4"/>
        <charset val="136"/>
      </rPr>
      <t>，樣書數量為國教署與出版商契約訂定，正確數量仍請依系統為準。</t>
    </r>
    <phoneticPr fontId="2" type="noConversion"/>
  </si>
  <si>
    <r>
      <t>1.學校用書及學生用書請至教科圖書共同供應服務網填報，本表僅供參考(無強制填寫)，金額以教科圖書共同供應服務網為準。
2.使用本表請於粉紅色欄位填</t>
    </r>
    <r>
      <rPr>
        <b/>
        <sz val="16"/>
        <color rgb="FF0000FF"/>
        <rFont val="標楷體"/>
        <family val="4"/>
        <charset val="136"/>
      </rPr>
      <t>「需求(本)」</t>
    </r>
    <r>
      <rPr>
        <sz val="16"/>
        <rFont val="標楷體"/>
        <family val="4"/>
        <charset val="136"/>
      </rPr>
      <t>及教科圖書共同供應服務網顯示的</t>
    </r>
    <r>
      <rPr>
        <b/>
        <sz val="16"/>
        <color rgb="FF0000FF"/>
        <rFont val="標楷體"/>
        <family val="4"/>
        <charset val="136"/>
      </rPr>
      <t>「樣書(本)」</t>
    </r>
    <r>
      <rPr>
        <sz val="16"/>
        <rFont val="標楷體"/>
        <family val="4"/>
        <charset val="136"/>
      </rPr>
      <t>。</t>
    </r>
    <phoneticPr fontId="2" type="noConversion"/>
  </si>
  <si>
    <r>
      <t>1.學校用書及學生用書請至教科圖書共同供應服務網填報，本表提供學校用書試算(無強制填寫)，金額以教科圖書共同供應服務網為準。
2.使用本表請於粉紅色欄位填</t>
    </r>
    <r>
      <rPr>
        <b/>
        <sz val="16"/>
        <color rgb="FF0000FF"/>
        <rFont val="標楷體"/>
        <family val="4"/>
        <charset val="136"/>
      </rPr>
      <t>「需求(本)」</t>
    </r>
    <r>
      <rPr>
        <sz val="16"/>
        <rFont val="標楷體"/>
        <family val="4"/>
        <charset val="136"/>
      </rPr>
      <t>及教科圖書共同供應服務網顯示的</t>
    </r>
    <r>
      <rPr>
        <b/>
        <sz val="16"/>
        <color rgb="FF0000FF"/>
        <rFont val="標楷體"/>
        <family val="4"/>
        <charset val="136"/>
      </rPr>
      <t>「樣書(本)」</t>
    </r>
    <r>
      <rPr>
        <sz val="16"/>
        <rFont val="標楷體"/>
        <family val="4"/>
        <charset val="136"/>
      </rPr>
      <t>。</t>
    </r>
    <phoneticPr fontId="2" type="noConversion"/>
  </si>
  <si>
    <t>樣書(本)</t>
    <phoneticPr fontId="2" type="noConversion"/>
  </si>
  <si>
    <r>
      <t>花蓮縣</t>
    </r>
    <r>
      <rPr>
        <sz val="18"/>
        <color rgb="FF0000FF"/>
        <rFont val="新細明體"/>
        <family val="1"/>
        <charset val="136"/>
      </rPr>
      <t>○○○學年度第○學期</t>
    </r>
    <r>
      <rPr>
        <sz val="18"/>
        <color theme="1"/>
        <rFont val="新細明體"/>
        <family val="1"/>
        <charset val="136"/>
      </rPr>
      <t>公立國民小學教科書(縣補助及花東書籍費)補助金額統計表</t>
    </r>
    <phoneticPr fontId="2" type="noConversion"/>
  </si>
  <si>
    <r>
      <t>1.請將本表列印核章後，於</t>
    </r>
    <r>
      <rPr>
        <sz val="12"/>
        <color rgb="FF0000FF"/>
        <rFont val="標楷體"/>
        <family val="4"/>
        <charset val="136"/>
      </rPr>
      <t>○○○年○月○○日(星期五)</t>
    </r>
    <r>
      <rPr>
        <sz val="12"/>
        <color theme="1"/>
        <rFont val="標楷體"/>
        <family val="4"/>
        <charset val="136"/>
      </rPr>
      <t>前，掃描上傳至校務系統。</t>
    </r>
    <phoneticPr fontId="2" type="noConversion"/>
  </si>
  <si>
    <r>
      <t>花蓮縣</t>
    </r>
    <r>
      <rPr>
        <sz val="18"/>
        <color rgb="FF0000FF"/>
        <rFont val="新細明體"/>
        <family val="1"/>
        <charset val="136"/>
      </rPr>
      <t>113學年度第1學期</t>
    </r>
    <r>
      <rPr>
        <sz val="18"/>
        <color theme="1"/>
        <rFont val="新細明體"/>
        <family val="1"/>
        <charset val="136"/>
      </rPr>
      <t>公立國民小學教科書(縣補助及花東書籍費)補助金額統計表</t>
    </r>
    <phoneticPr fontId="2" type="noConversion"/>
  </si>
  <si>
    <t>113學年度第1學期補助「花東地區接受義務教育學生書籍費」</t>
    <phoneticPr fontId="2" type="noConversion"/>
  </si>
  <si>
    <t>113學年度第1學期教科圖書價格表(國小)</t>
    <phoneticPr fontId="2" type="noConversion"/>
  </si>
  <si>
    <r>
      <t>1.請將本表列印核章後，於</t>
    </r>
    <r>
      <rPr>
        <sz val="12"/>
        <color rgb="FF0000FF"/>
        <rFont val="標楷體"/>
        <family val="4"/>
        <charset val="136"/>
      </rPr>
      <t>113年9月13日(星期五)</t>
    </r>
    <r>
      <rPr>
        <sz val="12"/>
        <color theme="1"/>
        <rFont val="標楷體"/>
        <family val="4"/>
        <charset val="136"/>
      </rPr>
      <t>前，掃描上傳至校務系統(電子檔也需要)。</t>
    </r>
    <phoneticPr fontId="2" type="noConversion"/>
  </si>
  <si>
    <t>-</t>
  </si>
  <si>
    <r>
      <rPr>
        <sz val="6"/>
        <rFont val="MingLiU_HKSCS-ExtB"/>
        <family val="1"/>
      </rPr>
      <t>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</si>
</sst>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;[Red]0"/>
    <numFmt numFmtId="178" formatCode="_-* #,##0_-;\-* #,##0_-;_-* &quot;-&quot;??_-;_-@_-"/>
    <numFmt numFmtId="179" formatCode="0_);[Red]\(0\)"/>
    <numFmt numFmtId="180" formatCode="0_ "/>
  </numFmts>
  <fonts count="99">
    <font>
      <sz val="1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Segoe UI Black"/>
      <family val="2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10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name val="標楷體"/>
      <family val="4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000000"/>
      <name val="Segoe UI Black"/>
      <family val="2"/>
    </font>
    <font>
      <sz val="11.5"/>
      <name val="標楷體"/>
      <family val="4"/>
      <charset val="136"/>
    </font>
    <font>
      <sz val="11.5"/>
      <color rgb="FF000000"/>
      <name val="標楷體"/>
      <family val="4"/>
      <charset val="136"/>
    </font>
    <font>
      <sz val="16"/>
      <name val="標楷體"/>
      <family val="4"/>
      <charset val="136"/>
    </font>
    <font>
      <sz val="20"/>
      <name val="標楷體"/>
      <family val="4"/>
      <charset val="136"/>
    </font>
    <font>
      <sz val="20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6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sz val="16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1"/>
      <name val="新細明體"/>
      <family val="1"/>
      <charset val="136"/>
      <scheme val="major"/>
    </font>
    <font>
      <b/>
      <sz val="20"/>
      <color indexed="81"/>
      <name val="細明體"/>
      <family val="3"/>
      <charset val="136"/>
    </font>
    <font>
      <b/>
      <sz val="20"/>
      <color indexed="81"/>
      <name val="Tahoma"/>
      <family val="2"/>
    </font>
    <font>
      <sz val="14"/>
      <name val="新細明體"/>
      <family val="1"/>
      <charset val="136"/>
    </font>
    <font>
      <sz val="12"/>
      <color rgb="FFFF0000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0033CC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color rgb="FF0033CC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3"/>
      <color theme="1"/>
      <name val="標楷體"/>
      <family val="4"/>
      <charset val="136"/>
    </font>
    <font>
      <b/>
      <sz val="12"/>
      <color rgb="FFFF0000"/>
      <name val="細明體"/>
      <family val="3"/>
      <charset val="136"/>
    </font>
    <font>
      <b/>
      <sz val="12"/>
      <color rgb="FF0033CC"/>
      <name val="標楷體"/>
      <family val="4"/>
      <charset val="136"/>
    </font>
    <font>
      <sz val="22"/>
      <color theme="1"/>
      <name val="標楷體"/>
      <family val="4"/>
      <charset val="136"/>
    </font>
    <font>
      <sz val="22"/>
      <color rgb="FFFF0000"/>
      <name val="標楷體"/>
      <family val="4"/>
      <charset val="136"/>
    </font>
    <font>
      <b/>
      <sz val="18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rgb="FF0000FF"/>
      <name val="標楷體"/>
      <family val="4"/>
      <charset val="136"/>
    </font>
    <font>
      <sz val="18"/>
      <color rgb="FF0000FF"/>
      <name val="新細明體"/>
      <family val="1"/>
      <charset val="136"/>
    </font>
    <font>
      <b/>
      <u/>
      <sz val="2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1"/>
      <name val="標楷體"/>
      <family val="4"/>
      <charset val="136"/>
    </font>
    <font>
      <b/>
      <sz val="16"/>
      <color rgb="FF0000FF"/>
      <name val="標楷體"/>
      <family val="4"/>
      <charset val="136"/>
    </font>
    <font>
      <b/>
      <sz val="11"/>
      <color theme="1"/>
      <name val="新細明體"/>
      <family val="1"/>
      <charset val="136"/>
    </font>
    <font>
      <b/>
      <sz val="11"/>
      <color rgb="FF0000FF"/>
      <name val="新細明體"/>
      <family val="1"/>
      <charset val="136"/>
    </font>
    <font>
      <b/>
      <sz val="11"/>
      <name val="標楷體"/>
      <family val="4"/>
      <charset val="136"/>
    </font>
    <font>
      <b/>
      <sz val="14"/>
      <color indexed="81"/>
      <name val="微軟正黑體"/>
      <family val="2"/>
      <charset val="136"/>
    </font>
    <font>
      <sz val="18"/>
      <color theme="1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b/>
      <sz val="16"/>
      <name val="標楷體"/>
      <family val="4"/>
      <charset val="136"/>
    </font>
    <font>
      <b/>
      <sz val="9"/>
      <color theme="1"/>
      <name val="標楷體"/>
      <family val="4"/>
      <charset val="136"/>
    </font>
    <font>
      <sz val="12"/>
      <color rgb="FF0000FF"/>
      <name val="新細明體"/>
      <family val="1"/>
      <charset val="136"/>
    </font>
    <font>
      <sz val="18"/>
      <color rgb="FFFF0000"/>
      <name val="新細明體"/>
      <family val="1"/>
      <charset val="136"/>
    </font>
    <font>
      <sz val="18"/>
      <name val="新細明體"/>
      <family val="1"/>
      <charset val="136"/>
    </font>
    <font>
      <b/>
      <u/>
      <sz val="18"/>
      <color theme="1"/>
      <name val="新細明體"/>
      <family val="1"/>
      <charset val="136"/>
    </font>
    <font>
      <b/>
      <sz val="11"/>
      <color rgb="FF0000FF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3"/>
      <name val="新細明體"/>
      <family val="1"/>
      <charset val="136"/>
    </font>
    <font>
      <b/>
      <sz val="13"/>
      <color theme="1"/>
      <name val="標楷體"/>
      <family val="4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rgb="FF000000"/>
      <name val="Times New Roman"/>
      <family val="1"/>
    </font>
    <font>
      <sz val="6"/>
      <name val="MingLiU_HKSCS-ExtB"/>
      <family val="1"/>
    </font>
    <font>
      <sz val="14"/>
      <name val="Adobe 繁黑體 Std B"/>
      <family val="2"/>
      <charset val="136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rgb="FFF7E6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5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" fillId="0" borderId="0">
      <alignment vertical="center"/>
    </xf>
    <xf numFmtId="0" fontId="7" fillId="0" borderId="0"/>
    <xf numFmtId="0" fontId="5" fillId="0" borderId="0"/>
    <xf numFmtId="43" fontId="7" fillId="0" borderId="0" applyFont="0" applyFill="0" applyBorder="0" applyAlignment="0" applyProtection="0">
      <alignment vertical="center"/>
    </xf>
    <xf numFmtId="0" fontId="96" fillId="0" borderId="0"/>
  </cellStyleXfs>
  <cellXfs count="742">
    <xf numFmtId="0" fontId="0" fillId="0" borderId="0" xfId="0"/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1" fontId="13" fillId="0" borderId="2" xfId="1" applyNumberFormat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wrapText="1"/>
    </xf>
    <xf numFmtId="1" fontId="14" fillId="0" borderId="2" xfId="1" applyNumberFormat="1" applyFont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center" vertical="center" wrapText="1"/>
    </xf>
    <xf numFmtId="1" fontId="13" fillId="0" borderId="7" xfId="1" applyNumberFormat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21" fillId="0" borderId="0" xfId="6" applyFont="1" applyAlignment="1" applyProtection="1">
      <alignment horizontal="center" vertical="center"/>
      <protection locked="0"/>
    </xf>
    <xf numFmtId="0" fontId="22" fillId="0" borderId="0" xfId="6" applyFont="1" applyProtection="1">
      <alignment vertical="center"/>
      <protection locked="0"/>
    </xf>
    <xf numFmtId="0" fontId="29" fillId="0" borderId="0" xfId="1" applyFont="1" applyAlignment="1">
      <alignment horizontal="center" vertical="center"/>
    </xf>
    <xf numFmtId="0" fontId="9" fillId="0" borderId="0" xfId="0" applyFont="1"/>
    <xf numFmtId="0" fontId="5" fillId="0" borderId="0" xfId="8" applyAlignment="1">
      <alignment horizontal="left" vertical="top"/>
    </xf>
    <xf numFmtId="0" fontId="14" fillId="0" borderId="0" xfId="1" applyFont="1" applyAlignment="1">
      <alignment horizontal="center" vertical="center"/>
    </xf>
    <xf numFmtId="0" fontId="30" fillId="0" borderId="25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1" fontId="31" fillId="0" borderId="25" xfId="0" applyNumberFormat="1" applyFont="1" applyBorder="1" applyAlignment="1">
      <alignment horizontal="center" vertical="center" shrinkToFit="1"/>
    </xf>
    <xf numFmtId="1" fontId="31" fillId="0" borderId="23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6" fillId="0" borderId="7" xfId="1" applyFont="1" applyBorder="1" applyAlignment="1">
      <alignment horizontal="center" vertical="center" wrapText="1"/>
    </xf>
    <xf numFmtId="1" fontId="14" fillId="0" borderId="0" xfId="1" applyNumberFormat="1" applyFont="1" applyAlignment="1">
      <alignment horizontal="center" vertical="center" wrapText="1" shrinkToFit="1"/>
    </xf>
    <xf numFmtId="0" fontId="30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2" fillId="0" borderId="0" xfId="2" applyFont="1" applyAlignment="1" applyProtection="1">
      <alignment vertical="center"/>
      <protection locked="0"/>
    </xf>
    <xf numFmtId="0" fontId="9" fillId="0" borderId="0" xfId="2" applyProtection="1">
      <protection locked="0"/>
    </xf>
    <xf numFmtId="0" fontId="4" fillId="0" borderId="0" xfId="2" applyFont="1" applyProtection="1">
      <protection locked="0"/>
    </xf>
    <xf numFmtId="0" fontId="37" fillId="0" borderId="0" xfId="2" applyFont="1" applyProtection="1">
      <protection locked="0"/>
    </xf>
    <xf numFmtId="0" fontId="36" fillId="8" borderId="4" xfId="2" applyFont="1" applyFill="1" applyBorder="1" applyAlignment="1" applyProtection="1">
      <alignment horizontal="center" vertical="center" wrapText="1"/>
      <protection locked="0"/>
    </xf>
    <xf numFmtId="0" fontId="16" fillId="8" borderId="4" xfId="2" applyFont="1" applyFill="1" applyBorder="1" applyAlignment="1" applyProtection="1">
      <alignment horizontal="center" vertical="center" wrapText="1"/>
      <protection locked="0"/>
    </xf>
    <xf numFmtId="0" fontId="38" fillId="0" borderId="2" xfId="2" applyFont="1" applyBorder="1" applyAlignment="1" applyProtection="1">
      <alignment horizontal="center" vertical="center" wrapText="1"/>
      <protection locked="0"/>
    </xf>
    <xf numFmtId="0" fontId="9" fillId="0" borderId="2" xfId="2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horizontal="center" vertical="center" wrapText="1"/>
      <protection locked="0"/>
    </xf>
    <xf numFmtId="0" fontId="8" fillId="0" borderId="0" xfId="2" applyFont="1" applyProtection="1">
      <protection locked="0"/>
    </xf>
    <xf numFmtId="0" fontId="9" fillId="0" borderId="2" xfId="2" applyBorder="1" applyAlignment="1" applyProtection="1">
      <alignment horizontal="center" vertical="center"/>
      <protection locked="0"/>
    </xf>
    <xf numFmtId="0" fontId="9" fillId="0" borderId="0" xfId="2" applyAlignment="1" applyProtection="1">
      <alignment horizontal="center" vertical="center"/>
      <protection locked="0"/>
    </xf>
    <xf numFmtId="0" fontId="16" fillId="8" borderId="2" xfId="2" applyFont="1" applyFill="1" applyBorder="1" applyAlignment="1">
      <alignment horizontal="center" vertical="center" wrapText="1"/>
    </xf>
    <xf numFmtId="0" fontId="40" fillId="0" borderId="0" xfId="2" applyFont="1" applyAlignment="1" applyProtection="1">
      <alignment horizontal="left" vertical="center"/>
      <protection locked="0"/>
    </xf>
    <xf numFmtId="0" fontId="41" fillId="0" borderId="0" xfId="2" applyFont="1" applyAlignment="1" applyProtection="1">
      <alignment horizontal="left" vertical="center"/>
      <protection locked="0"/>
    </xf>
    <xf numFmtId="0" fontId="41" fillId="0" borderId="0" xfId="2" applyFont="1" applyAlignment="1" applyProtection="1">
      <alignment horizontal="left"/>
      <protection locked="0"/>
    </xf>
    <xf numFmtId="0" fontId="28" fillId="0" borderId="0" xfId="2" applyFont="1" applyProtection="1">
      <protection locked="0"/>
    </xf>
    <xf numFmtId="0" fontId="42" fillId="0" borderId="0" xfId="2" applyFont="1" applyProtection="1">
      <protection locked="0"/>
    </xf>
    <xf numFmtId="0" fontId="21" fillId="0" borderId="15" xfId="6" applyFont="1" applyBorder="1" applyAlignment="1">
      <alignment horizontal="center" vertical="center"/>
    </xf>
    <xf numFmtId="0" fontId="21" fillId="0" borderId="5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/>
    </xf>
    <xf numFmtId="0" fontId="22" fillId="0" borderId="2" xfId="6" applyFont="1" applyBorder="1" applyAlignment="1" applyProtection="1">
      <alignment horizontal="center" vertical="center"/>
      <protection locked="0"/>
    </xf>
    <xf numFmtId="0" fontId="22" fillId="0" borderId="3" xfId="6" applyFont="1" applyBorder="1" applyAlignment="1" applyProtection="1">
      <alignment horizontal="center" vertical="center"/>
      <protection locked="0"/>
    </xf>
    <xf numFmtId="0" fontId="30" fillId="4" borderId="23" xfId="0" applyFont="1" applyFill="1" applyBorder="1" applyAlignment="1">
      <alignment horizontal="center" vertical="center" wrapText="1"/>
    </xf>
    <xf numFmtId="1" fontId="31" fillId="4" borderId="25" xfId="0" applyNumberFormat="1" applyFont="1" applyFill="1" applyBorder="1" applyAlignment="1">
      <alignment horizontal="center" vertical="center" shrinkToFit="1"/>
    </xf>
    <xf numFmtId="1" fontId="31" fillId="4" borderId="23" xfId="0" applyNumberFormat="1" applyFont="1" applyFill="1" applyBorder="1" applyAlignment="1">
      <alignment horizontal="center" vertical="center" shrinkToFit="1"/>
    </xf>
    <xf numFmtId="0" fontId="30" fillId="4" borderId="25" xfId="0" applyFont="1" applyFill="1" applyBorder="1" applyAlignment="1">
      <alignment horizontal="center" vertical="center" wrapText="1"/>
    </xf>
    <xf numFmtId="0" fontId="4" fillId="4" borderId="23" xfId="1" applyFont="1" applyFill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24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1" fontId="13" fillId="4" borderId="2" xfId="1" applyNumberFormat="1" applyFont="1" applyFill="1" applyBorder="1" applyAlignment="1">
      <alignment horizontal="center" vertical="center" shrinkToFit="1"/>
    </xf>
    <xf numFmtId="1" fontId="13" fillId="4" borderId="7" xfId="1" applyNumberFormat="1" applyFont="1" applyFill="1" applyBorder="1" applyAlignment="1">
      <alignment horizontal="center" vertical="center" shrinkToFit="1"/>
    </xf>
    <xf numFmtId="0" fontId="30" fillId="4" borderId="24" xfId="0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0" fontId="17" fillId="0" borderId="0" xfId="0" applyFont="1"/>
    <xf numFmtId="0" fontId="30" fillId="7" borderId="23" xfId="0" applyFont="1" applyFill="1" applyBorder="1" applyAlignment="1">
      <alignment horizontal="center" vertical="center" wrapText="1"/>
    </xf>
    <xf numFmtId="0" fontId="22" fillId="0" borderId="7" xfId="6" applyFont="1" applyBorder="1" applyAlignment="1" applyProtection="1">
      <alignment horizontal="center" vertical="center"/>
      <protection locked="0"/>
    </xf>
    <xf numFmtId="0" fontId="9" fillId="0" borderId="19" xfId="7" applyFont="1" applyBorder="1" applyAlignment="1">
      <alignment horizontal="center" vertical="center"/>
    </xf>
    <xf numFmtId="1" fontId="46" fillId="0" borderId="0" xfId="1" applyNumberFormat="1" applyFont="1" applyAlignment="1">
      <alignment horizontal="center" vertical="center" wrapText="1" shrinkToFi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9" fillId="0" borderId="0" xfId="0" applyFont="1" applyAlignment="1" applyProtection="1">
      <alignment vertical="center"/>
      <protection locked="0"/>
    </xf>
    <xf numFmtId="176" fontId="0" fillId="0" borderId="0" xfId="0" applyNumberFormat="1"/>
    <xf numFmtId="41" fontId="0" fillId="0" borderId="0" xfId="0" applyNumberFormat="1"/>
    <xf numFmtId="0" fontId="2" fillId="0" borderId="0" xfId="0" applyFont="1" applyAlignment="1">
      <alignment horizontal="center" wrapText="1"/>
    </xf>
    <xf numFmtId="0" fontId="53" fillId="0" borderId="2" xfId="0" applyFont="1" applyBorder="1" applyAlignment="1" applyProtection="1">
      <alignment horizontal="center" vertical="center"/>
      <protection locked="0"/>
    </xf>
    <xf numFmtId="0" fontId="49" fillId="0" borderId="2" xfId="0" applyFont="1" applyBorder="1" applyAlignment="1" applyProtection="1">
      <alignment horizontal="center" vertical="center"/>
      <protection locked="0"/>
    </xf>
    <xf numFmtId="0" fontId="49" fillId="0" borderId="7" xfId="0" applyFont="1" applyBorder="1" applyAlignment="1" applyProtection="1">
      <alignment horizontal="center" vertical="center" wrapText="1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9" fillId="0" borderId="0" xfId="0" applyNumberFormat="1" applyFont="1" applyAlignment="1">
      <alignment vertical="center"/>
    </xf>
    <xf numFmtId="176" fontId="51" fillId="0" borderId="0" xfId="0" applyNumberFormat="1" applyFont="1" applyAlignment="1" applyProtection="1">
      <alignment vertical="center"/>
      <protection locked="0"/>
    </xf>
    <xf numFmtId="0" fontId="22" fillId="0" borderId="2" xfId="6" applyFont="1" applyBorder="1" applyAlignment="1" applyProtection="1">
      <alignment horizontal="center" vertical="center" shrinkToFit="1"/>
      <protection locked="0"/>
    </xf>
    <xf numFmtId="0" fontId="53" fillId="7" borderId="2" xfId="0" applyFont="1" applyFill="1" applyBorder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right" vertical="center"/>
      <protection locked="0"/>
    </xf>
    <xf numFmtId="0" fontId="60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left" vertical="center"/>
      <protection locked="0"/>
    </xf>
    <xf numFmtId="0" fontId="49" fillId="0" borderId="7" xfId="0" applyFont="1" applyBorder="1" applyAlignment="1" applyProtection="1">
      <alignment vertical="center"/>
      <protection locked="0"/>
    </xf>
    <xf numFmtId="0" fontId="63" fillId="5" borderId="8" xfId="0" applyFont="1" applyFill="1" applyBorder="1" applyAlignment="1" applyProtection="1">
      <alignment horizontal="center" vertical="center"/>
      <protection locked="0"/>
    </xf>
    <xf numFmtId="0" fontId="63" fillId="5" borderId="2" xfId="0" applyFont="1" applyFill="1" applyBorder="1" applyAlignment="1" applyProtection="1">
      <alignment horizontal="center" vertical="center"/>
      <protection locked="0"/>
    </xf>
    <xf numFmtId="0" fontId="24" fillId="0" borderId="7" xfId="6" applyFont="1" applyBorder="1" applyProtection="1">
      <alignment vertical="center"/>
      <protection locked="0"/>
    </xf>
    <xf numFmtId="0" fontId="24" fillId="0" borderId="0" xfId="6" applyFont="1" applyProtection="1">
      <alignment vertical="center"/>
      <protection locked="0"/>
    </xf>
    <xf numFmtId="0" fontId="9" fillId="0" borderId="0" xfId="7" applyFont="1" applyAlignment="1">
      <alignment vertical="center"/>
    </xf>
    <xf numFmtId="0" fontId="53" fillId="0" borderId="0" xfId="0" applyFont="1" applyAlignment="1" applyProtection="1">
      <alignment horizontal="center" vertical="center" wrapText="1"/>
      <protection locked="0"/>
    </xf>
    <xf numFmtId="0" fontId="55" fillId="0" borderId="0" xfId="0" applyFont="1" applyAlignment="1" applyProtection="1">
      <alignment vertical="center" wrapText="1"/>
      <protection locked="0"/>
    </xf>
    <xf numFmtId="0" fontId="56" fillId="0" borderId="7" xfId="0" quotePrefix="1" applyFont="1" applyBorder="1" applyAlignment="1" applyProtection="1">
      <alignment horizontal="center" vertical="center" wrapText="1"/>
      <protection locked="0"/>
    </xf>
    <xf numFmtId="0" fontId="56" fillId="4" borderId="51" xfId="0" quotePrefix="1" applyFont="1" applyFill="1" applyBorder="1" applyAlignment="1" applyProtection="1">
      <alignment horizontal="center" vertical="center" wrapText="1"/>
      <protection locked="0"/>
    </xf>
    <xf numFmtId="0" fontId="61" fillId="4" borderId="60" xfId="0" applyFont="1" applyFill="1" applyBorder="1" applyAlignment="1" applyProtection="1">
      <alignment horizontal="center" vertical="center" wrapText="1"/>
      <protection locked="0"/>
    </xf>
    <xf numFmtId="0" fontId="23" fillId="0" borderId="0" xfId="6" applyFont="1" applyAlignment="1" applyProtection="1">
      <alignment horizontal="center" vertical="center"/>
      <protection locked="0"/>
    </xf>
    <xf numFmtId="0" fontId="9" fillId="0" borderId="15" xfId="7" applyFont="1" applyBorder="1" applyAlignment="1">
      <alignment horizontal="center" vertical="center"/>
    </xf>
    <xf numFmtId="0" fontId="20" fillId="0" borderId="0" xfId="6" applyFont="1" applyProtection="1">
      <alignment vertical="center"/>
      <protection locked="0"/>
    </xf>
    <xf numFmtId="176" fontId="50" fillId="4" borderId="63" xfId="0" applyNumberFormat="1" applyFont="1" applyFill="1" applyBorder="1" applyAlignment="1">
      <alignment horizontal="center" vertical="center"/>
    </xf>
    <xf numFmtId="0" fontId="9" fillId="0" borderId="17" xfId="7" applyFont="1" applyBorder="1" applyAlignment="1">
      <alignment horizontal="center" vertical="center"/>
    </xf>
    <xf numFmtId="0" fontId="15" fillId="4" borderId="23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 wrapText="1"/>
    </xf>
    <xf numFmtId="0" fontId="16" fillId="4" borderId="22" xfId="1" applyFont="1" applyFill="1" applyBorder="1" applyAlignment="1">
      <alignment horizontal="center" vertical="center" wrapText="1"/>
    </xf>
    <xf numFmtId="0" fontId="16" fillId="4" borderId="24" xfId="1" applyFont="1" applyFill="1" applyBorder="1" applyAlignment="1">
      <alignment horizontal="center" vertical="center" wrapText="1"/>
    </xf>
    <xf numFmtId="0" fontId="18" fillId="10" borderId="2" xfId="7" applyFont="1" applyFill="1" applyBorder="1" applyAlignment="1" applyProtection="1">
      <alignment horizontal="center" vertical="center"/>
      <protection locked="0"/>
    </xf>
    <xf numFmtId="0" fontId="25" fillId="10" borderId="2" xfId="7" applyFont="1" applyFill="1" applyBorder="1" applyAlignment="1" applyProtection="1">
      <alignment horizontal="center" vertical="center"/>
      <protection locked="0"/>
    </xf>
    <xf numFmtId="0" fontId="18" fillId="10" borderId="15" xfId="7" applyFont="1" applyFill="1" applyBorder="1" applyAlignment="1" applyProtection="1">
      <alignment horizontal="center" vertical="center"/>
      <protection locked="0"/>
    </xf>
    <xf numFmtId="0" fontId="49" fillId="7" borderId="10" xfId="0" applyFont="1" applyFill="1" applyBorder="1" applyAlignment="1" applyProtection="1">
      <alignment horizontal="center" vertical="center"/>
      <protection locked="0"/>
    </xf>
    <xf numFmtId="0" fontId="62" fillId="0" borderId="0" xfId="0" applyFont="1" applyAlignment="1" applyProtection="1">
      <alignment vertical="center" wrapText="1"/>
      <protection locked="0"/>
    </xf>
    <xf numFmtId="0" fontId="54" fillId="0" borderId="8" xfId="0" applyFont="1" applyBorder="1" applyAlignment="1" applyProtection="1">
      <alignment horizontal="center" vertical="center" wrapText="1"/>
      <protection locked="0"/>
    </xf>
    <xf numFmtId="0" fontId="49" fillId="0" borderId="9" xfId="0" applyFont="1" applyBorder="1" applyAlignment="1" applyProtection="1">
      <alignment vertical="center"/>
      <protection locked="0"/>
    </xf>
    <xf numFmtId="0" fontId="53" fillId="7" borderId="3" xfId="0" applyFont="1" applyFill="1" applyBorder="1" applyAlignment="1" applyProtection="1">
      <alignment horizontal="center" vertical="center"/>
      <protection locked="0"/>
    </xf>
    <xf numFmtId="0" fontId="63" fillId="5" borderId="1" xfId="0" applyFont="1" applyFill="1" applyBorder="1" applyAlignment="1" applyProtection="1">
      <alignment horizontal="center" vertical="center"/>
      <protection locked="0"/>
    </xf>
    <xf numFmtId="0" fontId="54" fillId="7" borderId="64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center" vertical="center"/>
      <protection locked="0"/>
    </xf>
    <xf numFmtId="0" fontId="53" fillId="0" borderId="3" xfId="0" applyFont="1" applyBorder="1" applyAlignment="1" applyProtection="1">
      <alignment horizontal="center" vertical="center"/>
      <protection locked="0"/>
    </xf>
    <xf numFmtId="0" fontId="54" fillId="0" borderId="33" xfId="0" applyFont="1" applyBorder="1" applyAlignment="1" applyProtection="1">
      <alignment horizontal="center" vertical="center" wrapText="1"/>
      <protection locked="0"/>
    </xf>
    <xf numFmtId="0" fontId="66" fillId="6" borderId="0" xfId="0" applyFont="1" applyFill="1" applyAlignment="1" applyProtection="1">
      <alignment vertical="center"/>
      <protection locked="0"/>
    </xf>
    <xf numFmtId="0" fontId="66" fillId="0" borderId="0" xfId="0" applyFont="1" applyAlignment="1" applyProtection="1">
      <alignment vertical="center"/>
      <protection locked="0"/>
    </xf>
    <xf numFmtId="0" fontId="68" fillId="0" borderId="0" xfId="0" applyFont="1" applyAlignment="1" applyProtection="1">
      <alignment vertical="center" wrapText="1"/>
      <protection locked="0"/>
    </xf>
    <xf numFmtId="0" fontId="63" fillId="5" borderId="11" xfId="0" applyFont="1" applyFill="1" applyBorder="1" applyAlignment="1" applyProtection="1">
      <alignment horizontal="center" vertical="center"/>
      <protection locked="0"/>
    </xf>
    <xf numFmtId="0" fontId="63" fillId="5" borderId="2" xfId="0" applyFont="1" applyFill="1" applyBorder="1" applyAlignment="1" applyProtection="1">
      <alignment horizontal="center" vertical="center" shrinkToFit="1"/>
      <protection locked="0"/>
    </xf>
    <xf numFmtId="41" fontId="54" fillId="0" borderId="53" xfId="0" applyNumberFormat="1" applyFont="1" applyBorder="1" applyAlignment="1">
      <alignment horizontal="center" vertical="center"/>
    </xf>
    <xf numFmtId="41" fontId="54" fillId="0" borderId="10" xfId="0" applyNumberFormat="1" applyFont="1" applyBorder="1" applyAlignment="1">
      <alignment horizontal="center" vertical="center"/>
    </xf>
    <xf numFmtId="41" fontId="54" fillId="0" borderId="39" xfId="0" applyNumberFormat="1" applyFont="1" applyBorder="1" applyAlignment="1">
      <alignment horizontal="center" vertical="center"/>
    </xf>
    <xf numFmtId="41" fontId="54" fillId="0" borderId="2" xfId="0" applyNumberFormat="1" applyFont="1" applyBorder="1" applyAlignment="1">
      <alignment horizontal="center" vertical="center"/>
    </xf>
    <xf numFmtId="41" fontId="54" fillId="0" borderId="20" xfId="0" applyNumberFormat="1" applyFont="1" applyBorder="1" applyAlignment="1">
      <alignment horizontal="center" vertical="center"/>
    </xf>
    <xf numFmtId="41" fontId="54" fillId="0" borderId="3" xfId="0" applyNumberFormat="1" applyFont="1" applyBorder="1" applyAlignment="1">
      <alignment horizontal="center" vertical="center"/>
    </xf>
    <xf numFmtId="41" fontId="54" fillId="0" borderId="69" xfId="0" applyNumberFormat="1" applyFont="1" applyBorder="1" applyAlignment="1">
      <alignment horizontal="center" vertical="center"/>
    </xf>
    <xf numFmtId="41" fontId="54" fillId="0" borderId="40" xfId="0" applyNumberFormat="1" applyFont="1" applyBorder="1" applyAlignment="1">
      <alignment horizontal="center" vertical="center"/>
    </xf>
    <xf numFmtId="41" fontId="54" fillId="0" borderId="15" xfId="0" applyNumberFormat="1" applyFont="1" applyBorder="1" applyAlignment="1">
      <alignment horizontal="center" vertical="center"/>
    </xf>
    <xf numFmtId="41" fontId="54" fillId="0" borderId="5" xfId="0" applyNumberFormat="1" applyFont="1" applyBorder="1" applyAlignment="1">
      <alignment horizontal="center" vertical="center"/>
    </xf>
    <xf numFmtId="41" fontId="54" fillId="0" borderId="45" xfId="0" applyNumberFormat="1" applyFont="1" applyBorder="1" applyAlignment="1">
      <alignment horizontal="center" vertical="center"/>
    </xf>
    <xf numFmtId="0" fontId="9" fillId="0" borderId="4" xfId="7" applyFont="1" applyBorder="1" applyAlignment="1">
      <alignment horizontal="center" vertical="center"/>
    </xf>
    <xf numFmtId="0" fontId="26" fillId="0" borderId="2" xfId="6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41" fontId="0" fillId="0" borderId="0" xfId="0" applyNumberFormat="1" applyAlignment="1">
      <alignment horizontal="center"/>
    </xf>
    <xf numFmtId="41" fontId="17" fillId="0" borderId="0" xfId="0" applyNumberFormat="1" applyFont="1" applyAlignment="1">
      <alignment horizontal="center"/>
    </xf>
    <xf numFmtId="41" fontId="0" fillId="12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49" fillId="7" borderId="20" xfId="0" applyFont="1" applyFill="1" applyBorder="1" applyAlignment="1" applyProtection="1">
      <alignment horizontal="center" vertical="center"/>
      <protection locked="0"/>
    </xf>
    <xf numFmtId="0" fontId="53" fillId="7" borderId="8" xfId="0" applyFont="1" applyFill="1" applyBorder="1" applyAlignment="1" applyProtection="1">
      <alignment horizontal="center" vertical="center"/>
      <protection locked="0"/>
    </xf>
    <xf numFmtId="41" fontId="54" fillId="0" borderId="9" xfId="0" applyNumberFormat="1" applyFont="1" applyBorder="1" applyAlignment="1">
      <alignment horizontal="center" vertical="center"/>
    </xf>
    <xf numFmtId="41" fontId="54" fillId="0" borderId="70" xfId="0" applyNumberFormat="1" applyFont="1" applyBorder="1" applyAlignment="1">
      <alignment horizontal="center" vertical="center"/>
    </xf>
    <xf numFmtId="0" fontId="63" fillId="5" borderId="3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17" fillId="0" borderId="0" xfId="0" applyFont="1" applyAlignment="1">
      <alignment vertical="center"/>
    </xf>
    <xf numFmtId="41" fontId="0" fillId="4" borderId="0" xfId="0" applyNumberFormat="1" applyFill="1" applyAlignment="1">
      <alignment horizontal="center"/>
    </xf>
    <xf numFmtId="41" fontId="17" fillId="4" borderId="0" xfId="0" applyNumberFormat="1" applyFont="1" applyFill="1" applyAlignment="1">
      <alignment horizontal="center"/>
    </xf>
    <xf numFmtId="0" fontId="53" fillId="7" borderId="2" xfId="0" applyFont="1" applyFill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41" fontId="54" fillId="0" borderId="2" xfId="0" applyNumberFormat="1" applyFont="1" applyBorder="1" applyAlignment="1">
      <alignment horizontal="center" vertical="center" wrapText="1"/>
    </xf>
    <xf numFmtId="41" fontId="74" fillId="0" borderId="2" xfId="0" applyNumberFormat="1" applyFont="1" applyBorder="1" applyAlignment="1" applyProtection="1">
      <alignment horizontal="center" vertical="center"/>
      <protection locked="0"/>
    </xf>
    <xf numFmtId="0" fontId="53" fillId="16" borderId="1" xfId="0" applyFont="1" applyFill="1" applyBorder="1" applyAlignment="1">
      <alignment horizontal="center" vertical="center"/>
    </xf>
    <xf numFmtId="0" fontId="53" fillId="16" borderId="2" xfId="0" applyFont="1" applyFill="1" applyBorder="1" applyAlignment="1">
      <alignment horizontal="center" vertical="center"/>
    </xf>
    <xf numFmtId="0" fontId="53" fillId="16" borderId="3" xfId="0" applyFont="1" applyFill="1" applyBorder="1" applyAlignment="1">
      <alignment horizontal="center" vertical="center"/>
    </xf>
    <xf numFmtId="41" fontId="49" fillId="16" borderId="53" xfId="0" applyNumberFormat="1" applyFont="1" applyFill="1" applyBorder="1" applyAlignment="1">
      <alignment horizontal="center" vertical="center"/>
    </xf>
    <xf numFmtId="41" fontId="49" fillId="16" borderId="10" xfId="0" applyNumberFormat="1" applyFont="1" applyFill="1" applyBorder="1" applyAlignment="1">
      <alignment horizontal="center" vertical="center"/>
    </xf>
    <xf numFmtId="41" fontId="53" fillId="16" borderId="2" xfId="0" applyNumberFormat="1" applyFont="1" applyFill="1" applyBorder="1" applyAlignment="1">
      <alignment horizontal="center" vertical="center"/>
    </xf>
    <xf numFmtId="41" fontId="53" fillId="16" borderId="3" xfId="0" applyNumberFormat="1" applyFont="1" applyFill="1" applyBorder="1" applyAlignment="1">
      <alignment horizontal="center" vertical="center"/>
    </xf>
    <xf numFmtId="41" fontId="49" fillId="16" borderId="64" xfId="0" applyNumberFormat="1" applyFont="1" applyFill="1" applyBorder="1" applyAlignment="1">
      <alignment horizontal="center" vertical="center"/>
    </xf>
    <xf numFmtId="41" fontId="49" fillId="16" borderId="40" xfId="0" applyNumberFormat="1" applyFont="1" applyFill="1" applyBorder="1" applyAlignment="1">
      <alignment horizontal="center" vertical="center"/>
    </xf>
    <xf numFmtId="41" fontId="53" fillId="16" borderId="15" xfId="0" applyNumberFormat="1" applyFont="1" applyFill="1" applyBorder="1" applyAlignment="1">
      <alignment horizontal="center" vertical="center"/>
    </xf>
    <xf numFmtId="41" fontId="53" fillId="16" borderId="5" xfId="0" applyNumberFormat="1" applyFont="1" applyFill="1" applyBorder="1" applyAlignment="1">
      <alignment horizontal="center" vertical="center"/>
    </xf>
    <xf numFmtId="41" fontId="49" fillId="16" borderId="41" xfId="0" applyNumberFormat="1" applyFont="1" applyFill="1" applyBorder="1" applyAlignment="1">
      <alignment horizontal="center" vertical="center"/>
    </xf>
    <xf numFmtId="41" fontId="49" fillId="16" borderId="45" xfId="0" applyNumberFormat="1" applyFont="1" applyFill="1" applyBorder="1" applyAlignment="1">
      <alignment horizontal="center" vertical="center"/>
    </xf>
    <xf numFmtId="0" fontId="49" fillId="16" borderId="53" xfId="0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41" fontId="54" fillId="0" borderId="1" xfId="0" applyNumberFormat="1" applyFont="1" applyBorder="1" applyAlignment="1">
      <alignment horizontal="center" vertical="center"/>
    </xf>
    <xf numFmtId="41" fontId="54" fillId="0" borderId="1" xfId="0" applyNumberFormat="1" applyFont="1" applyBorder="1" applyAlignment="1">
      <alignment horizontal="center" vertical="center" wrapText="1"/>
    </xf>
    <xf numFmtId="41" fontId="74" fillId="0" borderId="1" xfId="0" applyNumberFormat="1" applyFont="1" applyBorder="1" applyAlignment="1" applyProtection="1">
      <alignment horizontal="center" vertical="center"/>
      <protection locked="0"/>
    </xf>
    <xf numFmtId="41" fontId="54" fillId="0" borderId="3" xfId="0" applyNumberFormat="1" applyFont="1" applyBorder="1" applyAlignment="1">
      <alignment horizontal="center" vertical="center" wrapText="1"/>
    </xf>
    <xf numFmtId="41" fontId="74" fillId="0" borderId="3" xfId="0" applyNumberFormat="1" applyFont="1" applyBorder="1" applyAlignment="1" applyProtection="1">
      <alignment horizontal="center" vertical="center"/>
      <protection locked="0"/>
    </xf>
    <xf numFmtId="41" fontId="74" fillId="0" borderId="15" xfId="0" applyNumberFormat="1" applyFont="1" applyBorder="1" applyAlignment="1" applyProtection="1">
      <alignment horizontal="center" vertical="center"/>
      <protection locked="0"/>
    </xf>
    <xf numFmtId="41" fontId="74" fillId="0" borderId="5" xfId="0" applyNumberFormat="1" applyFont="1" applyBorder="1" applyAlignment="1" applyProtection="1">
      <alignment horizontal="center" vertical="center"/>
      <protection locked="0"/>
    </xf>
    <xf numFmtId="0" fontId="49" fillId="7" borderId="33" xfId="0" applyFont="1" applyFill="1" applyBorder="1" applyAlignment="1">
      <alignment horizontal="center" vertical="center"/>
    </xf>
    <xf numFmtId="0" fontId="49" fillId="7" borderId="29" xfId="0" applyFont="1" applyFill="1" applyBorder="1" applyAlignment="1">
      <alignment horizontal="center" vertical="center"/>
    </xf>
    <xf numFmtId="0" fontId="55" fillId="7" borderId="30" xfId="0" applyFont="1" applyFill="1" applyBorder="1" applyAlignment="1">
      <alignment horizontal="center" vertical="center" wrapText="1"/>
    </xf>
    <xf numFmtId="0" fontId="53" fillId="7" borderId="1" xfId="0" applyFont="1" applyFill="1" applyBorder="1" applyAlignment="1">
      <alignment horizontal="center" vertical="center"/>
    </xf>
    <xf numFmtId="0" fontId="53" fillId="7" borderId="3" xfId="0" applyFont="1" applyFill="1" applyBorder="1" applyAlignment="1">
      <alignment horizontal="center" vertical="center"/>
    </xf>
    <xf numFmtId="41" fontId="74" fillId="0" borderId="14" xfId="0" applyNumberFormat="1" applyFont="1" applyBorder="1" applyAlignment="1" applyProtection="1">
      <alignment horizontal="center" vertical="center"/>
      <protection locked="0"/>
    </xf>
    <xf numFmtId="0" fontId="22" fillId="11" borderId="7" xfId="0" applyFont="1" applyFill="1" applyBorder="1" applyAlignment="1" applyProtection="1">
      <alignment horizontal="center" vertical="center"/>
      <protection locked="0"/>
    </xf>
    <xf numFmtId="0" fontId="49" fillId="16" borderId="10" xfId="0" applyFont="1" applyFill="1" applyBorder="1" applyAlignment="1">
      <alignment horizontal="center" vertical="center"/>
    </xf>
    <xf numFmtId="0" fontId="55" fillId="16" borderId="64" xfId="0" applyFont="1" applyFill="1" applyBorder="1" applyAlignment="1">
      <alignment horizontal="center" vertical="center" wrapText="1"/>
    </xf>
    <xf numFmtId="0" fontId="22" fillId="16" borderId="3" xfId="0" applyFont="1" applyFill="1" applyBorder="1" applyAlignment="1" applyProtection="1">
      <alignment horizontal="center" vertical="center"/>
      <protection locked="0"/>
    </xf>
    <xf numFmtId="0" fontId="22" fillId="16" borderId="5" xfId="0" applyFont="1" applyFill="1" applyBorder="1" applyAlignment="1" applyProtection="1">
      <alignment horizontal="center" vertical="center"/>
      <protection locked="0"/>
    </xf>
    <xf numFmtId="0" fontId="78" fillId="0" borderId="72" xfId="0" applyFont="1" applyBorder="1" applyAlignment="1">
      <alignment horizontal="center" vertical="center"/>
    </xf>
    <xf numFmtId="41" fontId="78" fillId="0" borderId="59" xfId="9" applyNumberFormat="1" applyFont="1" applyFill="1" applyBorder="1" applyAlignment="1" applyProtection="1">
      <alignment horizontal="center" vertical="center"/>
    </xf>
    <xf numFmtId="0" fontId="16" fillId="16" borderId="72" xfId="0" applyFont="1" applyFill="1" applyBorder="1" applyAlignment="1">
      <alignment horizontal="center" vertical="center"/>
    </xf>
    <xf numFmtId="178" fontId="11" fillId="16" borderId="58" xfId="9" applyNumberFormat="1" applyFont="1" applyFill="1" applyBorder="1" applyAlignment="1" applyProtection="1">
      <alignment horizontal="center" vertical="center"/>
    </xf>
    <xf numFmtId="178" fontId="16" fillId="16" borderId="59" xfId="9" applyNumberFormat="1" applyFont="1" applyFill="1" applyBorder="1" applyAlignment="1" applyProtection="1">
      <alignment horizontal="center" vertical="center"/>
    </xf>
    <xf numFmtId="0" fontId="18" fillId="10" borderId="17" xfId="7" applyFont="1" applyFill="1" applyBorder="1" applyAlignment="1" applyProtection="1">
      <alignment horizontal="center" vertical="center"/>
      <protection locked="0"/>
    </xf>
    <xf numFmtId="0" fontId="63" fillId="5" borderId="2" xfId="0" applyFont="1" applyFill="1" applyBorder="1" applyAlignment="1" applyProtection="1">
      <alignment horizontal="center" vertical="center" wrapText="1" shrinkToFit="1"/>
      <protection locked="0"/>
    </xf>
    <xf numFmtId="0" fontId="63" fillId="5" borderId="3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80" fillId="0" borderId="0" xfId="6" applyFont="1" applyAlignment="1" applyProtection="1">
      <alignment horizontal="center" vertical="center"/>
      <protection locked="0"/>
    </xf>
    <xf numFmtId="0" fontId="49" fillId="0" borderId="0" xfId="6" applyFont="1" applyProtection="1">
      <alignment vertical="center"/>
      <protection locked="0"/>
    </xf>
    <xf numFmtId="0" fontId="49" fillId="0" borderId="0" xfId="6" applyFont="1" applyAlignment="1" applyProtection="1">
      <alignment horizontal="center" vertical="center"/>
      <protection locked="0"/>
    </xf>
    <xf numFmtId="0" fontId="49" fillId="0" borderId="7" xfId="6" applyFont="1" applyBorder="1" applyAlignment="1" applyProtection="1">
      <alignment horizontal="center" vertical="center"/>
      <protection locked="0"/>
    </xf>
    <xf numFmtId="41" fontId="49" fillId="0" borderId="7" xfId="6" applyNumberFormat="1" applyFont="1" applyBorder="1" applyAlignment="1" applyProtection="1">
      <alignment horizontal="center" vertical="center"/>
      <protection locked="0"/>
    </xf>
    <xf numFmtId="41" fontId="49" fillId="0" borderId="17" xfId="6" applyNumberFormat="1" applyFont="1" applyBorder="1" applyAlignment="1" applyProtection="1">
      <alignment horizontal="center" vertical="center"/>
      <protection locked="0"/>
    </xf>
    <xf numFmtId="41" fontId="54" fillId="0" borderId="0" xfId="6" applyNumberFormat="1" applyFont="1" applyProtection="1">
      <alignment vertical="center"/>
      <protection locked="0"/>
    </xf>
    <xf numFmtId="0" fontId="49" fillId="0" borderId="3" xfId="6" applyFont="1" applyBorder="1" applyAlignment="1" applyProtection="1">
      <alignment horizontal="center" vertical="center"/>
      <protection locked="0"/>
    </xf>
    <xf numFmtId="0" fontId="61" fillId="0" borderId="0" xfId="6" applyFont="1" applyAlignment="1" applyProtection="1">
      <protection locked="0"/>
    </xf>
    <xf numFmtId="0" fontId="61" fillId="0" borderId="0" xfId="6" applyFont="1" applyProtection="1">
      <alignment vertical="center"/>
      <protection locked="0"/>
    </xf>
    <xf numFmtId="0" fontId="49" fillId="0" borderId="2" xfId="6" applyFont="1" applyBorder="1" applyAlignment="1" applyProtection="1">
      <alignment horizontal="center" vertical="center"/>
      <protection locked="0"/>
    </xf>
    <xf numFmtId="41" fontId="49" fillId="0" borderId="2" xfId="6" applyNumberFormat="1" applyFont="1" applyBorder="1" applyAlignment="1">
      <alignment horizontal="center" vertical="center"/>
    </xf>
    <xf numFmtId="41" fontId="49" fillId="0" borderId="2" xfId="6" applyNumberFormat="1" applyFont="1" applyBorder="1" applyAlignment="1" applyProtection="1">
      <alignment horizontal="center" vertical="center"/>
      <protection locked="0"/>
    </xf>
    <xf numFmtId="41" fontId="49" fillId="0" borderId="15" xfId="6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41" fontId="78" fillId="0" borderId="0" xfId="9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41" fontId="49" fillId="0" borderId="0" xfId="6" applyNumberFormat="1" applyFont="1" applyAlignment="1">
      <alignment horizontal="center" vertical="center"/>
    </xf>
    <xf numFmtId="176" fontId="49" fillId="0" borderId="0" xfId="6" applyNumberFormat="1" applyFont="1" applyAlignment="1">
      <alignment horizontal="center" vertical="center"/>
    </xf>
    <xf numFmtId="176" fontId="82" fillId="0" borderId="0" xfId="6" applyNumberFormat="1" applyFont="1" applyAlignment="1">
      <alignment horizontal="center" vertical="center"/>
    </xf>
    <xf numFmtId="41" fontId="49" fillId="0" borderId="3" xfId="6" applyNumberFormat="1" applyFont="1" applyBorder="1" applyAlignment="1" applyProtection="1">
      <alignment horizontal="center" vertical="center"/>
      <protection locked="0"/>
    </xf>
    <xf numFmtId="0" fontId="48" fillId="11" borderId="7" xfId="0" applyFont="1" applyFill="1" applyBorder="1" applyAlignment="1">
      <alignment horizontal="center"/>
    </xf>
    <xf numFmtId="0" fontId="77" fillId="11" borderId="7" xfId="0" applyFont="1" applyFill="1" applyBorder="1" applyAlignment="1">
      <alignment horizontal="center"/>
    </xf>
    <xf numFmtId="0" fontId="48" fillId="11" borderId="17" xfId="0" applyFont="1" applyFill="1" applyBorder="1" applyAlignment="1">
      <alignment horizontal="center"/>
    </xf>
    <xf numFmtId="41" fontId="49" fillId="0" borderId="2" xfId="6" applyNumberFormat="1" applyFont="1" applyBorder="1" applyProtection="1">
      <alignment vertical="center"/>
      <protection locked="0"/>
    </xf>
    <xf numFmtId="41" fontId="49" fillId="0" borderId="15" xfId="6" applyNumberFormat="1" applyFont="1" applyBorder="1" applyProtection="1">
      <alignment vertical="center"/>
      <protection locked="0"/>
    </xf>
    <xf numFmtId="0" fontId="24" fillId="0" borderId="0" xfId="6" applyFont="1" applyAlignment="1" applyProtection="1">
      <alignment horizontal="center" vertical="center"/>
      <protection locked="0"/>
    </xf>
    <xf numFmtId="41" fontId="0" fillId="7" borderId="0" xfId="0" applyNumberFormat="1" applyFill="1" applyAlignment="1">
      <alignment horizontal="center"/>
    </xf>
    <xf numFmtId="41" fontId="17" fillId="7" borderId="0" xfId="0" applyNumberFormat="1" applyFont="1" applyFill="1" applyAlignment="1">
      <alignment horizontal="center"/>
    </xf>
    <xf numFmtId="0" fontId="21" fillId="0" borderId="0" xfId="6" applyFont="1" applyProtection="1">
      <alignment vertical="center"/>
      <protection locked="0"/>
    </xf>
    <xf numFmtId="0" fontId="22" fillId="0" borderId="0" xfId="6" applyFont="1" applyAlignment="1" applyProtection="1">
      <alignment horizontal="center" vertical="center" textRotation="255"/>
      <protection locked="0"/>
    </xf>
    <xf numFmtId="0" fontId="23" fillId="0" borderId="80" xfId="6" applyFont="1" applyBorder="1" applyAlignment="1" applyProtection="1">
      <alignment horizontal="center" vertical="center"/>
      <protection locked="0"/>
    </xf>
    <xf numFmtId="0" fontId="9" fillId="10" borderId="2" xfId="7" applyFont="1" applyFill="1" applyBorder="1" applyAlignment="1" applyProtection="1">
      <alignment horizontal="center" vertical="center"/>
      <protection locked="0"/>
    </xf>
    <xf numFmtId="0" fontId="24" fillId="0" borderId="7" xfId="6" applyFont="1" applyBorder="1" applyAlignment="1" applyProtection="1">
      <alignment horizontal="center" vertical="center"/>
      <protection locked="0"/>
    </xf>
    <xf numFmtId="0" fontId="22" fillId="0" borderId="87" xfId="6" applyFont="1" applyBorder="1" applyAlignment="1" applyProtection="1">
      <alignment horizontal="center" vertical="center"/>
      <protection locked="0"/>
    </xf>
    <xf numFmtId="0" fontId="9" fillId="0" borderId="2" xfId="7" applyFont="1" applyBorder="1" applyAlignment="1">
      <alignment horizontal="center" vertical="center"/>
    </xf>
    <xf numFmtId="0" fontId="21" fillId="0" borderId="87" xfId="6" applyFont="1" applyBorder="1" applyAlignment="1">
      <alignment horizontal="center" vertical="center"/>
    </xf>
    <xf numFmtId="0" fontId="84" fillId="10" borderId="2" xfId="7" applyFont="1" applyFill="1" applyBorder="1" applyAlignment="1" applyProtection="1">
      <alignment horizontal="center" vertical="center"/>
      <protection locked="0"/>
    </xf>
    <xf numFmtId="0" fontId="22" fillId="0" borderId="10" xfId="6" applyFont="1" applyBorder="1" applyAlignment="1" applyProtection="1">
      <alignment horizontal="center" vertical="center"/>
      <protection locked="0"/>
    </xf>
    <xf numFmtId="0" fontId="21" fillId="0" borderId="80" xfId="6" applyFont="1" applyBorder="1" applyAlignment="1" applyProtection="1">
      <alignment horizontal="center" vertical="center"/>
      <protection locked="0"/>
    </xf>
    <xf numFmtId="0" fontId="9" fillId="10" borderId="89" xfId="7" applyFont="1" applyFill="1" applyBorder="1" applyAlignment="1" applyProtection="1">
      <alignment horizontal="center" vertical="center"/>
      <protection locked="0"/>
    </xf>
    <xf numFmtId="0" fontId="9" fillId="10" borderId="90" xfId="7" applyFont="1" applyFill="1" applyBorder="1" applyAlignment="1" applyProtection="1">
      <alignment horizontal="center" vertical="center"/>
      <protection locked="0"/>
    </xf>
    <xf numFmtId="0" fontId="21" fillId="0" borderId="90" xfId="6" applyFont="1" applyBorder="1" applyAlignment="1">
      <alignment horizontal="center" vertical="center"/>
    </xf>
    <xf numFmtId="0" fontId="9" fillId="0" borderId="89" xfId="7" applyFont="1" applyBorder="1" applyAlignment="1">
      <alignment horizontal="center" vertical="center"/>
    </xf>
    <xf numFmtId="0" fontId="9" fillId="0" borderId="90" xfId="7" applyFont="1" applyBorder="1" applyAlignment="1">
      <alignment horizontal="center" vertical="center"/>
    </xf>
    <xf numFmtId="0" fontId="21" fillId="0" borderId="91" xfId="6" applyFont="1" applyBorder="1" applyAlignment="1">
      <alignment horizontal="center" vertical="center"/>
    </xf>
    <xf numFmtId="0" fontId="20" fillId="6" borderId="0" xfId="0" applyFont="1" applyFill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86" fillId="0" borderId="0" xfId="0" applyFont="1" applyAlignment="1" applyProtection="1">
      <alignment vertical="center"/>
      <protection locked="0"/>
    </xf>
    <xf numFmtId="0" fontId="86" fillId="0" borderId="0" xfId="0" applyFont="1"/>
    <xf numFmtId="0" fontId="25" fillId="11" borderId="2" xfId="6" applyFont="1" applyFill="1" applyBorder="1" applyAlignment="1" applyProtection="1">
      <alignment horizontal="center" vertical="center"/>
      <protection locked="0"/>
    </xf>
    <xf numFmtId="0" fontId="22" fillId="11" borderId="2" xfId="6" applyFont="1" applyFill="1" applyBorder="1" applyAlignment="1" applyProtection="1">
      <alignment horizontal="center" vertical="center"/>
      <protection locked="0"/>
    </xf>
    <xf numFmtId="0" fontId="22" fillId="11" borderId="15" xfId="6" applyFont="1" applyFill="1" applyBorder="1" applyAlignment="1" applyProtection="1">
      <alignment horizontal="center" vertical="center"/>
      <protection locked="0"/>
    </xf>
    <xf numFmtId="0" fontId="49" fillId="5" borderId="2" xfId="6" applyFont="1" applyFill="1" applyBorder="1" applyAlignment="1" applyProtection="1">
      <alignment horizontal="center" vertical="center"/>
      <protection locked="0"/>
    </xf>
    <xf numFmtId="0" fontId="49" fillId="5" borderId="7" xfId="6" applyFont="1" applyFill="1" applyBorder="1" applyAlignment="1" applyProtection="1">
      <alignment horizontal="center" vertical="center"/>
      <protection locked="0"/>
    </xf>
    <xf numFmtId="0" fontId="49" fillId="5" borderId="2" xfId="6" applyFont="1" applyFill="1" applyBorder="1" applyAlignment="1" applyProtection="1">
      <alignment horizontal="center" vertical="center" shrinkToFit="1"/>
      <protection locked="0"/>
    </xf>
    <xf numFmtId="0" fontId="49" fillId="5" borderId="3" xfId="6" applyFont="1" applyFill="1" applyBorder="1" applyAlignment="1" applyProtection="1">
      <alignment horizontal="center" vertical="center" shrinkToFit="1"/>
      <protection locked="0"/>
    </xf>
    <xf numFmtId="41" fontId="61" fillId="0" borderId="2" xfId="6" applyNumberFormat="1" applyFont="1" applyBorder="1" applyAlignment="1">
      <alignment horizontal="center" vertical="center"/>
    </xf>
    <xf numFmtId="0" fontId="49" fillId="16" borderId="2" xfId="6" applyFont="1" applyFill="1" applyBorder="1" applyAlignment="1" applyProtection="1">
      <alignment horizontal="center" vertical="center"/>
      <protection locked="0"/>
    </xf>
    <xf numFmtId="0" fontId="49" fillId="16" borderId="7" xfId="6" applyFont="1" applyFill="1" applyBorder="1" applyAlignment="1" applyProtection="1">
      <alignment horizontal="center" vertical="center"/>
      <protection locked="0"/>
    </xf>
    <xf numFmtId="0" fontId="49" fillId="16" borderId="3" xfId="6" applyFont="1" applyFill="1" applyBorder="1" applyAlignment="1" applyProtection="1">
      <alignment horizontal="center" vertical="center"/>
      <protection locked="0"/>
    </xf>
    <xf numFmtId="0" fontId="22" fillId="16" borderId="2" xfId="6" applyFont="1" applyFill="1" applyBorder="1" applyAlignment="1" applyProtection="1">
      <alignment horizontal="center" vertical="center"/>
      <protection locked="0"/>
    </xf>
    <xf numFmtId="41" fontId="49" fillId="16" borderId="2" xfId="6" applyNumberFormat="1" applyFont="1" applyFill="1" applyBorder="1" applyAlignment="1" applyProtection="1">
      <alignment horizontal="center" vertical="center"/>
      <protection locked="0"/>
    </xf>
    <xf numFmtId="41" fontId="49" fillId="16" borderId="7" xfId="6" applyNumberFormat="1" applyFont="1" applyFill="1" applyBorder="1" applyAlignment="1" applyProtection="1">
      <alignment horizontal="center" vertical="center"/>
      <protection locked="0"/>
    </xf>
    <xf numFmtId="41" fontId="49" fillId="16" borderId="3" xfId="6" applyNumberFormat="1" applyFont="1" applyFill="1" applyBorder="1" applyAlignment="1" applyProtection="1">
      <alignment horizontal="center" vertical="center"/>
      <protection locked="0"/>
    </xf>
    <xf numFmtId="0" fontId="22" fillId="16" borderId="15" xfId="6" applyFont="1" applyFill="1" applyBorder="1" applyAlignment="1" applyProtection="1">
      <alignment horizontal="center" vertical="center"/>
      <protection locked="0"/>
    </xf>
    <xf numFmtId="41" fontId="49" fillId="16" borderId="15" xfId="6" applyNumberFormat="1" applyFont="1" applyFill="1" applyBorder="1" applyAlignment="1" applyProtection="1">
      <alignment horizontal="center" vertical="center"/>
      <protection locked="0"/>
    </xf>
    <xf numFmtId="41" fontId="49" fillId="16" borderId="17" xfId="6" applyNumberFormat="1" applyFont="1" applyFill="1" applyBorder="1" applyAlignment="1" applyProtection="1">
      <alignment horizontal="center" vertical="center"/>
      <protection locked="0"/>
    </xf>
    <xf numFmtId="41" fontId="49" fillId="16" borderId="5" xfId="6" applyNumberFormat="1" applyFont="1" applyFill="1" applyBorder="1" applyAlignment="1" applyProtection="1">
      <alignment horizontal="center" vertical="center"/>
      <protection locked="0"/>
    </xf>
    <xf numFmtId="0" fontId="22" fillId="16" borderId="0" xfId="6" applyFont="1" applyFill="1" applyAlignment="1" applyProtection="1">
      <alignment horizontal="center" vertical="center" textRotation="255"/>
      <protection locked="0"/>
    </xf>
    <xf numFmtId="0" fontId="49" fillId="16" borderId="0" xfId="6" applyFont="1" applyFill="1" applyAlignment="1" applyProtection="1">
      <alignment horizontal="center" vertical="center"/>
      <protection locked="0"/>
    </xf>
    <xf numFmtId="41" fontId="54" fillId="16" borderId="0" xfId="6" applyNumberFormat="1" applyFont="1" applyFill="1" applyProtection="1">
      <alignment vertical="center"/>
      <protection locked="0"/>
    </xf>
    <xf numFmtId="41" fontId="61" fillId="16" borderId="2" xfId="6" applyNumberFormat="1" applyFont="1" applyFill="1" applyBorder="1" applyAlignment="1">
      <alignment horizontal="center" vertical="center"/>
    </xf>
    <xf numFmtId="41" fontId="49" fillId="16" borderId="0" xfId="6" applyNumberFormat="1" applyFont="1" applyFill="1" applyAlignment="1">
      <alignment horizontal="center" vertical="center"/>
    </xf>
    <xf numFmtId="176" fontId="49" fillId="16" borderId="0" xfId="6" applyNumberFormat="1" applyFont="1" applyFill="1" applyAlignment="1">
      <alignment horizontal="center" vertical="center"/>
    </xf>
    <xf numFmtId="176" fontId="82" fillId="16" borderId="0" xfId="6" applyNumberFormat="1" applyFont="1" applyFill="1" applyAlignment="1">
      <alignment horizontal="center" vertical="center"/>
    </xf>
    <xf numFmtId="0" fontId="49" fillId="16" borderId="0" xfId="6" applyFont="1" applyFill="1" applyProtection="1">
      <alignment vertical="center"/>
      <protection locked="0"/>
    </xf>
    <xf numFmtId="41" fontId="49" fillId="16" borderId="2" xfId="6" applyNumberFormat="1" applyFont="1" applyFill="1" applyBorder="1" applyAlignment="1">
      <alignment horizontal="center" vertical="center"/>
    </xf>
    <xf numFmtId="0" fontId="0" fillId="16" borderId="0" xfId="0" applyFill="1"/>
    <xf numFmtId="41" fontId="49" fillId="16" borderId="2" xfId="6" applyNumberFormat="1" applyFont="1" applyFill="1" applyBorder="1" applyProtection="1">
      <alignment vertical="center"/>
      <protection locked="0"/>
    </xf>
    <xf numFmtId="0" fontId="49" fillId="16" borderId="0" xfId="6" applyFont="1" applyFill="1" applyAlignment="1" applyProtection="1">
      <alignment horizontal="center" vertical="center" wrapText="1"/>
      <protection locked="0"/>
    </xf>
    <xf numFmtId="0" fontId="9" fillId="16" borderId="0" xfId="0" applyFont="1" applyFill="1" applyAlignment="1">
      <alignment vertical="center"/>
    </xf>
    <xf numFmtId="41" fontId="58" fillId="16" borderId="0" xfId="6" applyNumberFormat="1" applyFont="1" applyFill="1" applyAlignment="1" applyProtection="1">
      <alignment horizontal="center" vertical="center" wrapText="1"/>
      <protection locked="0"/>
    </xf>
    <xf numFmtId="41" fontId="0" fillId="16" borderId="0" xfId="0" applyNumberFormat="1" applyFill="1" applyAlignment="1">
      <alignment horizontal="center" vertical="center" wrapText="1"/>
    </xf>
    <xf numFmtId="0" fontId="0" fillId="16" borderId="0" xfId="0" applyFill="1" applyAlignment="1">
      <alignment vertical="center"/>
    </xf>
    <xf numFmtId="41" fontId="49" fillId="16" borderId="15" xfId="6" applyNumberFormat="1" applyFont="1" applyFill="1" applyBorder="1" applyProtection="1">
      <alignment vertical="center"/>
      <protection locked="0"/>
    </xf>
    <xf numFmtId="0" fontId="18" fillId="16" borderId="2" xfId="6" applyFont="1" applyFill="1" applyBorder="1" applyAlignment="1" applyProtection="1">
      <alignment horizontal="center" vertical="center"/>
      <protection locked="0"/>
    </xf>
    <xf numFmtId="0" fontId="18" fillId="16" borderId="15" xfId="6" applyFont="1" applyFill="1" applyBorder="1" applyAlignment="1" applyProtection="1">
      <alignment horizontal="center" vertical="center"/>
      <protection locked="0"/>
    </xf>
    <xf numFmtId="41" fontId="49" fillId="10" borderId="0" xfId="6" applyNumberFormat="1" applyFont="1" applyFill="1" applyProtection="1">
      <alignment vertical="center"/>
      <protection locked="0"/>
    </xf>
    <xf numFmtId="41" fontId="49" fillId="10" borderId="2" xfId="6" applyNumberFormat="1" applyFont="1" applyFill="1" applyBorder="1" applyProtection="1">
      <alignment vertical="center"/>
      <protection locked="0"/>
    </xf>
    <xf numFmtId="41" fontId="49" fillId="16" borderId="0" xfId="6" applyNumberFormat="1" applyFont="1" applyFill="1" applyProtection="1">
      <alignment vertical="center"/>
      <protection locked="0"/>
    </xf>
    <xf numFmtId="41" fontId="93" fillId="4" borderId="63" xfId="6" applyNumberFormat="1" applyFont="1" applyFill="1" applyBorder="1" applyAlignment="1">
      <alignment horizontal="center" vertical="center"/>
    </xf>
    <xf numFmtId="41" fontId="93" fillId="0" borderId="59" xfId="9" applyNumberFormat="1" applyFont="1" applyFill="1" applyBorder="1" applyAlignment="1" applyProtection="1">
      <alignment horizontal="center" vertical="center"/>
    </xf>
    <xf numFmtId="41" fontId="93" fillId="16" borderId="63" xfId="6" applyNumberFormat="1" applyFont="1" applyFill="1" applyBorder="1" applyAlignment="1">
      <alignment horizontal="center" vertical="center"/>
    </xf>
    <xf numFmtId="41" fontId="54" fillId="2" borderId="1" xfId="0" applyNumberFormat="1" applyFont="1" applyFill="1" applyBorder="1" applyAlignment="1">
      <alignment horizontal="center" vertical="center" wrapText="1"/>
    </xf>
    <xf numFmtId="41" fontId="54" fillId="2" borderId="2" xfId="0" applyNumberFormat="1" applyFont="1" applyFill="1" applyBorder="1" applyAlignment="1">
      <alignment horizontal="center" vertical="center" wrapText="1"/>
    </xf>
    <xf numFmtId="41" fontId="54" fillId="2" borderId="3" xfId="0" applyNumberFormat="1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0" fontId="54" fillId="5" borderId="2" xfId="0" applyFont="1" applyFill="1" applyBorder="1" applyAlignment="1">
      <alignment horizontal="center" vertical="center"/>
    </xf>
    <xf numFmtId="0" fontId="54" fillId="5" borderId="2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horizontal="center" vertical="center"/>
    </xf>
    <xf numFmtId="0" fontId="74" fillId="0" borderId="23" xfId="0" applyFont="1" applyBorder="1" applyAlignment="1">
      <alignment horizontal="center" vertical="top" wrapText="1"/>
    </xf>
    <xf numFmtId="0" fontId="74" fillId="0" borderId="23" xfId="0" applyFont="1" applyBorder="1" applyAlignment="1">
      <alignment horizontal="left" vertical="top" wrapText="1"/>
    </xf>
    <xf numFmtId="0" fontId="74" fillId="3" borderId="23" xfId="0" applyFont="1" applyFill="1" applyBorder="1" applyAlignment="1">
      <alignment horizontal="center" vertical="top" wrapText="1"/>
    </xf>
    <xf numFmtId="0" fontId="94" fillId="0" borderId="23" xfId="1" applyFont="1" applyBorder="1" applyAlignment="1">
      <alignment horizontal="center" vertical="center" wrapText="1"/>
    </xf>
    <xf numFmtId="1" fontId="94" fillId="0" borderId="23" xfId="0" applyNumberFormat="1" applyFont="1" applyBorder="1" applyAlignment="1">
      <alignment horizontal="center" vertical="top" shrinkToFit="1"/>
    </xf>
    <xf numFmtId="1" fontId="94" fillId="3" borderId="23" xfId="0" applyNumberFormat="1" applyFont="1" applyFill="1" applyBorder="1" applyAlignment="1">
      <alignment horizontal="center" vertical="top" shrinkToFit="1"/>
    </xf>
    <xf numFmtId="177" fontId="95" fillId="3" borderId="23" xfId="0" applyNumberFormat="1" applyFont="1" applyFill="1" applyBorder="1" applyAlignment="1">
      <alignment horizontal="center" vertical="top" shrinkToFit="1"/>
    </xf>
    <xf numFmtId="177" fontId="95" fillId="0" borderId="23" xfId="0" applyNumberFormat="1" applyFont="1" applyBorder="1" applyAlignment="1">
      <alignment horizontal="center" vertical="top" shrinkToFit="1"/>
    </xf>
    <xf numFmtId="0" fontId="53" fillId="0" borderId="7" xfId="0" applyFont="1" applyBorder="1" applyAlignment="1">
      <alignment horizontal="center" vertical="center"/>
    </xf>
    <xf numFmtId="0" fontId="54" fillId="5" borderId="7" xfId="0" applyFont="1" applyFill="1" applyBorder="1" applyAlignment="1">
      <alignment horizontal="center" vertical="center"/>
    </xf>
    <xf numFmtId="41" fontId="54" fillId="0" borderId="7" xfId="0" applyNumberFormat="1" applyFont="1" applyBorder="1" applyAlignment="1">
      <alignment horizontal="center" vertical="center"/>
    </xf>
    <xf numFmtId="41" fontId="54" fillId="2" borderId="7" xfId="0" applyNumberFormat="1" applyFont="1" applyFill="1" applyBorder="1" applyAlignment="1">
      <alignment horizontal="center" vertical="center" wrapText="1"/>
    </xf>
    <xf numFmtId="41" fontId="54" fillId="0" borderId="7" xfId="0" applyNumberFormat="1" applyFont="1" applyBorder="1" applyAlignment="1">
      <alignment horizontal="center" vertical="center" wrapText="1"/>
    </xf>
    <xf numFmtId="41" fontId="74" fillId="0" borderId="7" xfId="0" applyNumberFormat="1" applyFont="1" applyBorder="1" applyAlignment="1" applyProtection="1">
      <alignment horizontal="center" vertical="center"/>
      <protection locked="0"/>
    </xf>
    <xf numFmtId="41" fontId="74" fillId="0" borderId="17" xfId="0" applyNumberFormat="1" applyFont="1" applyBorder="1" applyAlignment="1" applyProtection="1">
      <alignment horizontal="center" vertical="center"/>
      <protection locked="0"/>
    </xf>
    <xf numFmtId="176" fontId="49" fillId="0" borderId="11" xfId="0" applyNumberFormat="1" applyFont="1" applyBorder="1" applyAlignment="1" applyProtection="1">
      <alignment horizontal="center" vertical="center"/>
      <protection locked="0"/>
    </xf>
    <xf numFmtId="179" fontId="94" fillId="0" borderId="23" xfId="0" applyNumberFormat="1" applyFont="1" applyBorder="1" applyAlignment="1">
      <alignment horizontal="center" vertical="top" shrinkToFit="1"/>
    </xf>
    <xf numFmtId="179" fontId="74" fillId="0" borderId="23" xfId="0" applyNumberFormat="1" applyFont="1" applyBorder="1" applyAlignment="1">
      <alignment horizontal="center" vertical="top" shrinkToFit="1"/>
    </xf>
    <xf numFmtId="179" fontId="74" fillId="0" borderId="23" xfId="0" applyNumberFormat="1" applyFont="1" applyBorder="1" applyAlignment="1">
      <alignment horizontal="center" vertical="top" wrapText="1"/>
    </xf>
    <xf numFmtId="179" fontId="95" fillId="0" borderId="23" xfId="0" applyNumberFormat="1" applyFont="1" applyBorder="1" applyAlignment="1">
      <alignment horizontal="center" vertical="top" shrinkToFit="1"/>
    </xf>
    <xf numFmtId="179" fontId="98" fillId="0" borderId="23" xfId="0" applyNumberFormat="1" applyFont="1" applyBorder="1" applyAlignment="1">
      <alignment horizontal="center" vertical="top" wrapText="1"/>
    </xf>
    <xf numFmtId="179" fontId="4" fillId="0" borderId="24" xfId="1" applyNumberFormat="1" applyFont="1" applyBorder="1" applyAlignment="1">
      <alignment horizontal="center" vertical="center" wrapText="1"/>
    </xf>
    <xf numFmtId="179" fontId="4" fillId="0" borderId="2" xfId="1" applyNumberFormat="1" applyFont="1" applyBorder="1" applyAlignment="1">
      <alignment horizontal="center" vertical="center" wrapText="1"/>
    </xf>
    <xf numFmtId="179" fontId="94" fillId="4" borderId="23" xfId="0" applyNumberFormat="1" applyFont="1" applyFill="1" applyBorder="1" applyAlignment="1">
      <alignment horizontal="center" vertical="top" shrinkToFit="1"/>
    </xf>
    <xf numFmtId="179" fontId="95" fillId="4" borderId="23" xfId="0" applyNumberFormat="1" applyFont="1" applyFill="1" applyBorder="1" applyAlignment="1">
      <alignment horizontal="center" vertical="top" shrinkToFit="1"/>
    </xf>
    <xf numFmtId="179" fontId="74" fillId="4" borderId="23" xfId="0" applyNumberFormat="1" applyFont="1" applyFill="1" applyBorder="1" applyAlignment="1">
      <alignment horizontal="center" vertical="top" wrapText="1"/>
    </xf>
    <xf numFmtId="179" fontId="4" fillId="4" borderId="24" xfId="1" applyNumberFormat="1" applyFont="1" applyFill="1" applyBorder="1" applyAlignment="1">
      <alignment horizontal="center" vertical="center" wrapText="1"/>
    </xf>
    <xf numFmtId="179" fontId="4" fillId="4" borderId="2" xfId="1" applyNumberFormat="1" applyFont="1" applyFill="1" applyBorder="1" applyAlignment="1">
      <alignment horizontal="center" vertical="center" wrapText="1"/>
    </xf>
    <xf numFmtId="179" fontId="13" fillId="4" borderId="2" xfId="1" applyNumberFormat="1" applyFont="1" applyFill="1" applyBorder="1" applyAlignment="1">
      <alignment horizontal="center" vertical="center" wrapText="1" shrinkToFit="1"/>
    </xf>
    <xf numFmtId="179" fontId="4" fillId="0" borderId="7" xfId="1" applyNumberFormat="1" applyFont="1" applyBorder="1" applyAlignment="1">
      <alignment horizontal="center" vertical="center" wrapText="1"/>
    </xf>
    <xf numFmtId="179" fontId="13" fillId="0" borderId="2" xfId="1" applyNumberFormat="1" applyFont="1" applyBorder="1" applyAlignment="1">
      <alignment horizontal="center" vertical="center" wrapText="1" shrinkToFit="1"/>
    </xf>
    <xf numFmtId="179" fontId="4" fillId="4" borderId="7" xfId="1" applyNumberFormat="1" applyFont="1" applyFill="1" applyBorder="1" applyAlignment="1">
      <alignment horizontal="center" vertical="center" wrapText="1"/>
    </xf>
    <xf numFmtId="179" fontId="94" fillId="3" borderId="23" xfId="0" applyNumberFormat="1" applyFont="1" applyFill="1" applyBorder="1" applyAlignment="1">
      <alignment horizontal="center" vertical="top" shrinkToFit="1"/>
    </xf>
    <xf numFmtId="179" fontId="95" fillId="3" borderId="23" xfId="0" applyNumberFormat="1" applyFont="1" applyFill="1" applyBorder="1" applyAlignment="1">
      <alignment horizontal="center" vertical="top" shrinkToFit="1"/>
    </xf>
    <xf numFmtId="179" fontId="74" fillId="3" borderId="23" xfId="0" applyNumberFormat="1" applyFont="1" applyFill="1" applyBorder="1" applyAlignment="1">
      <alignment horizontal="center" vertical="top" wrapText="1"/>
    </xf>
    <xf numFmtId="180" fontId="74" fillId="3" borderId="23" xfId="0" applyNumberFormat="1" applyFont="1" applyFill="1" applyBorder="1" applyAlignment="1">
      <alignment horizontal="center" vertical="top" wrapText="1"/>
    </xf>
    <xf numFmtId="180" fontId="4" fillId="0" borderId="24" xfId="1" applyNumberFormat="1" applyFont="1" applyBorder="1" applyAlignment="1">
      <alignment horizontal="center" vertical="center" wrapText="1"/>
    </xf>
    <xf numFmtId="180" fontId="4" fillId="0" borderId="2" xfId="1" applyNumberFormat="1" applyFont="1" applyBorder="1" applyAlignment="1">
      <alignment horizontal="center" vertical="center" wrapText="1"/>
    </xf>
    <xf numFmtId="41" fontId="0" fillId="1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4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4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49" fillId="0" borderId="0" xfId="0" applyNumberFormat="1" applyFont="1" applyAlignment="1">
      <alignment vertical="center"/>
    </xf>
    <xf numFmtId="41" fontId="17" fillId="0" borderId="0" xfId="0" applyNumberFormat="1" applyFont="1" applyAlignment="1">
      <alignment horizontal="center"/>
    </xf>
    <xf numFmtId="0" fontId="69" fillId="0" borderId="0" xfId="0" applyFont="1" applyAlignment="1" applyProtection="1">
      <alignment horizontal="center" vertical="center"/>
      <protection locked="0"/>
    </xf>
    <xf numFmtId="41" fontId="63" fillId="11" borderId="7" xfId="0" applyNumberFormat="1" applyFont="1" applyFill="1" applyBorder="1" applyAlignment="1">
      <alignment horizontal="center" vertical="center"/>
    </xf>
    <xf numFmtId="41" fontId="63" fillId="11" borderId="8" xfId="0" applyNumberFormat="1" applyFont="1" applyFill="1" applyBorder="1" applyAlignment="1">
      <alignment horizontal="center" vertical="center"/>
    </xf>
    <xf numFmtId="41" fontId="53" fillId="11" borderId="7" xfId="0" applyNumberFormat="1" applyFont="1" applyFill="1" applyBorder="1" applyAlignment="1">
      <alignment horizontal="center" vertical="center"/>
    </xf>
    <xf numFmtId="41" fontId="53" fillId="11" borderId="8" xfId="0" applyNumberFormat="1" applyFont="1" applyFill="1" applyBorder="1" applyAlignment="1">
      <alignment horizontal="center" vertical="center"/>
    </xf>
    <xf numFmtId="41" fontId="63" fillId="11" borderId="12" xfId="0" applyNumberFormat="1" applyFont="1" applyFill="1" applyBorder="1" applyAlignment="1">
      <alignment horizontal="center" vertical="center"/>
    </xf>
    <xf numFmtId="41" fontId="53" fillId="11" borderId="68" xfId="0" applyNumberFormat="1" applyFont="1" applyFill="1" applyBorder="1" applyAlignment="1">
      <alignment horizontal="center" vertical="center"/>
    </xf>
    <xf numFmtId="41" fontId="53" fillId="11" borderId="11" xfId="0" applyNumberFormat="1" applyFont="1" applyFill="1" applyBorder="1" applyAlignment="1">
      <alignment horizontal="center" vertical="center"/>
    </xf>
    <xf numFmtId="41" fontId="53" fillId="16" borderId="68" xfId="0" applyNumberFormat="1" applyFont="1" applyFill="1" applyBorder="1" applyAlignment="1">
      <alignment horizontal="center" vertical="center"/>
    </xf>
    <xf numFmtId="41" fontId="53" fillId="16" borderId="8" xfId="0" applyNumberFormat="1" applyFont="1" applyFill="1" applyBorder="1" applyAlignment="1">
      <alignment horizontal="center" vertical="center"/>
    </xf>
    <xf numFmtId="0" fontId="49" fillId="16" borderId="1" xfId="0" applyFont="1" applyFill="1" applyBorder="1" applyAlignment="1">
      <alignment vertical="center"/>
    </xf>
    <xf numFmtId="0" fontId="49" fillId="0" borderId="2" xfId="0" applyFont="1" applyBorder="1" applyAlignment="1" applyProtection="1">
      <alignment horizontal="center" vertical="center"/>
      <protection locked="0"/>
    </xf>
    <xf numFmtId="0" fontId="49" fillId="16" borderId="46" xfId="0" applyFont="1" applyFill="1" applyBorder="1" applyAlignment="1">
      <alignment horizontal="center" vertical="center"/>
    </xf>
    <xf numFmtId="0" fontId="49" fillId="16" borderId="71" xfId="0" applyFont="1" applyFill="1" applyBorder="1" applyAlignment="1">
      <alignment horizontal="center" vertical="center"/>
    </xf>
    <xf numFmtId="41" fontId="53" fillId="11" borderId="52" xfId="0" applyNumberFormat="1" applyFont="1" applyFill="1" applyBorder="1" applyAlignment="1">
      <alignment horizontal="center" vertical="center"/>
    </xf>
    <xf numFmtId="41" fontId="53" fillId="11" borderId="16" xfId="0" applyNumberFormat="1" applyFont="1" applyFill="1" applyBorder="1" applyAlignment="1">
      <alignment horizontal="center" vertical="center"/>
    </xf>
    <xf numFmtId="0" fontId="32" fillId="6" borderId="0" xfId="0" applyFont="1" applyFill="1" applyAlignment="1" applyProtection="1">
      <alignment vertical="center" wrapText="1"/>
      <protection locked="0"/>
    </xf>
    <xf numFmtId="0" fontId="37" fillId="6" borderId="0" xfId="0" applyFont="1" applyFill="1" applyAlignment="1">
      <alignment vertical="center"/>
    </xf>
    <xf numFmtId="41" fontId="53" fillId="16" borderId="7" xfId="0" applyNumberFormat="1" applyFont="1" applyFill="1" applyBorder="1" applyAlignment="1">
      <alignment horizontal="center" vertical="center"/>
    </xf>
    <xf numFmtId="41" fontId="53" fillId="16" borderId="12" xfId="0" applyNumberFormat="1" applyFont="1" applyFill="1" applyBorder="1" applyAlignment="1">
      <alignment horizontal="center" vertical="center"/>
    </xf>
    <xf numFmtId="176" fontId="49" fillId="16" borderId="54" xfId="0" applyNumberFormat="1" applyFont="1" applyFill="1" applyBorder="1" applyAlignment="1">
      <alignment horizontal="center" vertical="center"/>
    </xf>
    <xf numFmtId="0" fontId="49" fillId="16" borderId="53" xfId="0" applyFont="1" applyFill="1" applyBorder="1" applyAlignment="1">
      <alignment horizontal="center" vertical="center"/>
    </xf>
    <xf numFmtId="0" fontId="49" fillId="16" borderId="27" xfId="0" applyFont="1" applyFill="1" applyBorder="1" applyAlignment="1">
      <alignment horizontal="center" vertical="center"/>
    </xf>
    <xf numFmtId="0" fontId="49" fillId="16" borderId="28" xfId="0" applyFont="1" applyFill="1" applyBorder="1" applyAlignment="1">
      <alignment horizontal="center" vertical="center"/>
    </xf>
    <xf numFmtId="0" fontId="49" fillId="16" borderId="1" xfId="0" applyFont="1" applyFill="1" applyBorder="1" applyAlignment="1">
      <alignment horizontal="center" vertical="center"/>
    </xf>
    <xf numFmtId="0" fontId="49" fillId="16" borderId="77" xfId="0" applyFont="1" applyFill="1" applyBorder="1" applyAlignment="1">
      <alignment horizontal="left" vertical="center" wrapText="1"/>
    </xf>
    <xf numFmtId="0" fontId="0" fillId="0" borderId="78" xfId="0" applyBorder="1" applyAlignment="1">
      <alignment horizontal="left" vertical="center"/>
    </xf>
    <xf numFmtId="0" fontId="49" fillId="16" borderId="79" xfId="0" applyFont="1" applyFill="1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178" fontId="4" fillId="16" borderId="6" xfId="9" applyNumberFormat="1" applyFont="1" applyFill="1" applyBorder="1" applyAlignment="1" applyProtection="1">
      <alignment horizontal="center" vertical="center"/>
    </xf>
    <xf numFmtId="178" fontId="4" fillId="16" borderId="45" xfId="9" applyNumberFormat="1" applyFont="1" applyFill="1" applyBorder="1" applyAlignment="1" applyProtection="1">
      <alignment horizontal="center" vertical="center"/>
    </xf>
    <xf numFmtId="49" fontId="53" fillId="16" borderId="10" xfId="0" applyNumberFormat="1" applyFont="1" applyFill="1" applyBorder="1" applyAlignment="1">
      <alignment horizontal="center" vertical="center" wrapText="1"/>
    </xf>
    <xf numFmtId="49" fontId="53" fillId="16" borderId="2" xfId="0" applyNumberFormat="1" applyFont="1" applyFill="1" applyBorder="1" applyAlignment="1">
      <alignment horizontal="center" vertical="center" wrapText="1"/>
    </xf>
    <xf numFmtId="178" fontId="4" fillId="16" borderId="4" xfId="9" applyNumberFormat="1" applyFont="1" applyFill="1" applyBorder="1" applyAlignment="1" applyProtection="1">
      <alignment horizontal="center" vertical="center"/>
    </xf>
    <xf numFmtId="178" fontId="4" fillId="16" borderId="10" xfId="9" applyNumberFormat="1" applyFont="1" applyFill="1" applyBorder="1" applyAlignment="1" applyProtection="1">
      <alignment horizontal="center" vertical="center"/>
    </xf>
    <xf numFmtId="0" fontId="54" fillId="16" borderId="73" xfId="0" applyFont="1" applyFill="1" applyBorder="1" applyAlignment="1">
      <alignment horizontal="center" vertical="center" wrapText="1"/>
    </xf>
    <xf numFmtId="0" fontId="54" fillId="16" borderId="64" xfId="0" applyFont="1" applyFill="1" applyBorder="1" applyAlignment="1">
      <alignment horizontal="center" vertical="center" wrapText="1"/>
    </xf>
    <xf numFmtId="178" fontId="4" fillId="16" borderId="64" xfId="9" applyNumberFormat="1" applyFont="1" applyFill="1" applyBorder="1" applyAlignment="1" applyProtection="1">
      <alignment horizontal="center" vertical="center"/>
    </xf>
    <xf numFmtId="178" fontId="4" fillId="16" borderId="40" xfId="9" applyNumberFormat="1" applyFont="1" applyFill="1" applyBorder="1" applyAlignment="1" applyProtection="1">
      <alignment horizontal="center" vertical="center"/>
    </xf>
    <xf numFmtId="0" fontId="54" fillId="16" borderId="10" xfId="0" applyFont="1" applyFill="1" applyBorder="1" applyAlignment="1">
      <alignment horizontal="center" vertical="center" wrapText="1"/>
    </xf>
    <xf numFmtId="0" fontId="54" fillId="16" borderId="2" xfId="0" applyFont="1" applyFill="1" applyBorder="1" applyAlignment="1">
      <alignment horizontal="center" vertical="center" wrapText="1"/>
    </xf>
    <xf numFmtId="0" fontId="27" fillId="4" borderId="46" xfId="6" applyFont="1" applyFill="1" applyBorder="1" applyAlignment="1" applyProtection="1">
      <alignment horizontal="center" vertical="center" textRotation="255"/>
      <protection locked="0"/>
    </xf>
    <xf numFmtId="0" fontId="27" fillId="4" borderId="36" xfId="6" applyFont="1" applyFill="1" applyBorder="1" applyAlignment="1" applyProtection="1">
      <alignment horizontal="center" vertical="center" textRotation="255"/>
      <protection locked="0"/>
    </xf>
    <xf numFmtId="0" fontId="27" fillId="4" borderId="31" xfId="6" applyFont="1" applyFill="1" applyBorder="1" applyAlignment="1" applyProtection="1">
      <alignment horizontal="center" vertical="center" textRotation="255"/>
      <protection locked="0"/>
    </xf>
    <xf numFmtId="41" fontId="53" fillId="11" borderId="12" xfId="0" applyNumberFormat="1" applyFont="1" applyFill="1" applyBorder="1" applyAlignment="1">
      <alignment horizontal="center" vertical="center"/>
    </xf>
    <xf numFmtId="176" fontId="51" fillId="0" borderId="19" xfId="0" applyNumberFormat="1" applyFont="1" applyBorder="1" applyAlignment="1" applyProtection="1">
      <alignment horizontal="center" vertical="center"/>
      <protection locked="0"/>
    </xf>
    <xf numFmtId="176" fontId="51" fillId="0" borderId="39" xfId="0" applyNumberFormat="1" applyFont="1" applyBorder="1" applyAlignment="1" applyProtection="1">
      <alignment horizontal="center" vertical="center"/>
      <protection locked="0"/>
    </xf>
    <xf numFmtId="0" fontId="51" fillId="4" borderId="61" xfId="0" applyFont="1" applyFill="1" applyBorder="1" applyAlignment="1" applyProtection="1">
      <alignment horizontal="center" vertical="center"/>
      <protection locked="0"/>
    </xf>
    <xf numFmtId="0" fontId="51" fillId="4" borderId="62" xfId="0" applyFont="1" applyFill="1" applyBorder="1" applyAlignment="1" applyProtection="1">
      <alignment horizontal="center" vertical="center"/>
      <protection locked="0"/>
    </xf>
    <xf numFmtId="176" fontId="49" fillId="0" borderId="54" xfId="0" applyNumberFormat="1" applyFont="1" applyBorder="1" applyAlignment="1">
      <alignment horizontal="center" vertical="center"/>
    </xf>
    <xf numFmtId="176" fontId="49" fillId="0" borderId="53" xfId="0" applyNumberFormat="1" applyFont="1" applyBorder="1" applyAlignment="1">
      <alignment horizontal="center" vertical="center"/>
    </xf>
    <xf numFmtId="41" fontId="53" fillId="16" borderId="52" xfId="0" applyNumberFormat="1" applyFont="1" applyFill="1" applyBorder="1" applyAlignment="1">
      <alignment horizontal="center" vertical="center"/>
    </xf>
    <xf numFmtId="41" fontId="53" fillId="16" borderId="16" xfId="0" applyNumberFormat="1" applyFont="1" applyFill="1" applyBorder="1" applyAlignment="1">
      <alignment horizontal="center" vertical="center"/>
    </xf>
    <xf numFmtId="0" fontId="49" fillId="16" borderId="14" xfId="0" applyFont="1" applyFill="1" applyBorder="1" applyAlignment="1">
      <alignment vertical="center"/>
    </xf>
    <xf numFmtId="0" fontId="61" fillId="0" borderId="55" xfId="0" applyFont="1" applyBorder="1" applyAlignment="1" applyProtection="1">
      <alignment horizontal="center" vertical="center"/>
      <protection locked="0"/>
    </xf>
    <xf numFmtId="0" fontId="61" fillId="0" borderId="56" xfId="0" applyFont="1" applyBorder="1" applyAlignment="1" applyProtection="1">
      <alignment horizontal="center" vertical="center"/>
      <protection locked="0"/>
    </xf>
    <xf numFmtId="0" fontId="61" fillId="0" borderId="57" xfId="0" applyFont="1" applyBorder="1" applyAlignment="1" applyProtection="1">
      <alignment horizontal="center" vertical="center"/>
      <protection locked="0"/>
    </xf>
    <xf numFmtId="176" fontId="61" fillId="0" borderId="58" xfId="0" applyNumberFormat="1" applyFont="1" applyBorder="1" applyAlignment="1">
      <alignment horizontal="center" vertical="center"/>
    </xf>
    <xf numFmtId="176" fontId="61" fillId="0" borderId="59" xfId="0" applyNumberFormat="1" applyFont="1" applyBorder="1" applyAlignment="1">
      <alignment horizontal="center" vertical="center"/>
    </xf>
    <xf numFmtId="0" fontId="49" fillId="16" borderId="41" xfId="0" applyFont="1" applyFill="1" applyBorder="1" applyAlignment="1">
      <alignment horizontal="center" vertical="center"/>
    </xf>
    <xf numFmtId="0" fontId="54" fillId="16" borderId="53" xfId="0" applyFont="1" applyFill="1" applyBorder="1" applyAlignment="1">
      <alignment horizontal="center" vertical="center" wrapText="1"/>
    </xf>
    <xf numFmtId="0" fontId="54" fillId="16" borderId="1" xfId="0" applyFont="1" applyFill="1" applyBorder="1" applyAlignment="1">
      <alignment horizontal="center" vertical="center" wrapText="1"/>
    </xf>
    <xf numFmtId="0" fontId="49" fillId="16" borderId="27" xfId="0" applyFont="1" applyFill="1" applyBorder="1" applyAlignment="1">
      <alignment horizontal="center" vertical="center" wrapText="1"/>
    </xf>
    <xf numFmtId="0" fontId="49" fillId="16" borderId="28" xfId="0" applyFont="1" applyFill="1" applyBorder="1" applyAlignment="1">
      <alignment horizontal="center" vertical="center" wrapText="1"/>
    </xf>
    <xf numFmtId="0" fontId="49" fillId="16" borderId="48" xfId="0" applyFont="1" applyFill="1" applyBorder="1" applyAlignment="1">
      <alignment horizontal="center" vertical="center"/>
    </xf>
    <xf numFmtId="0" fontId="49" fillId="0" borderId="54" xfId="0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53" xfId="0" applyBorder="1" applyAlignment="1">
      <alignment vertical="center"/>
    </xf>
    <xf numFmtId="0" fontId="49" fillId="0" borderId="54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0" fillId="0" borderId="0" xfId="6" applyFont="1" applyAlignment="1" applyProtection="1">
      <alignment horizontal="center" vertical="center"/>
      <protection locked="0"/>
    </xf>
    <xf numFmtId="0" fontId="62" fillId="7" borderId="28" xfId="0" applyFont="1" applyFill="1" applyBorder="1" applyAlignment="1" applyProtection="1">
      <alignment horizontal="center" vertical="center" wrapText="1"/>
      <protection locked="0"/>
    </xf>
    <xf numFmtId="0" fontId="62" fillId="7" borderId="29" xfId="0" applyFont="1" applyFill="1" applyBorder="1" applyAlignment="1" applyProtection="1">
      <alignment horizontal="center" vertical="center" wrapText="1"/>
      <protection locked="0"/>
    </xf>
    <xf numFmtId="0" fontId="62" fillId="7" borderId="50" xfId="0" applyFont="1" applyFill="1" applyBorder="1" applyAlignment="1" applyProtection="1">
      <alignment horizontal="center" vertical="center" wrapText="1"/>
      <protection locked="0"/>
    </xf>
    <xf numFmtId="0" fontId="58" fillId="16" borderId="55" xfId="0" applyFont="1" applyFill="1" applyBorder="1" applyAlignment="1">
      <alignment horizontal="center" vertical="center"/>
    </xf>
    <xf numFmtId="0" fontId="58" fillId="16" borderId="56" xfId="0" applyFont="1" applyFill="1" applyBorder="1" applyAlignment="1">
      <alignment horizontal="center" vertical="center"/>
    </xf>
    <xf numFmtId="0" fontId="58" fillId="16" borderId="44" xfId="0" applyFont="1" applyFill="1" applyBorder="1" applyAlignment="1">
      <alignment horizontal="center" vertical="center"/>
    </xf>
    <xf numFmtId="0" fontId="68" fillId="4" borderId="0" xfId="0" applyFont="1" applyFill="1" applyAlignment="1" applyProtection="1">
      <alignment horizontal="center" vertical="center" wrapText="1"/>
      <protection locked="0"/>
    </xf>
    <xf numFmtId="0" fontId="22" fillId="0" borderId="7" xfId="6" applyFont="1" applyBorder="1" applyAlignment="1" applyProtection="1">
      <alignment horizontal="center" vertical="center"/>
      <protection locked="0"/>
    </xf>
    <xf numFmtId="0" fontId="22" fillId="0" borderId="11" xfId="6" applyFont="1" applyBorder="1" applyAlignment="1" applyProtection="1">
      <alignment horizontal="center" vertical="center"/>
      <protection locked="0"/>
    </xf>
    <xf numFmtId="0" fontId="22" fillId="0" borderId="8" xfId="6" applyFont="1" applyBorder="1" applyAlignment="1" applyProtection="1">
      <alignment horizontal="center" vertical="center"/>
      <protection locked="0"/>
    </xf>
    <xf numFmtId="0" fontId="18" fillId="4" borderId="27" xfId="6" applyFont="1" applyFill="1" applyBorder="1" applyAlignment="1" applyProtection="1">
      <alignment horizontal="center" vertical="center"/>
      <protection locked="0"/>
    </xf>
    <xf numFmtId="0" fontId="18" fillId="4" borderId="47" xfId="6" applyFont="1" applyFill="1" applyBorder="1" applyAlignment="1" applyProtection="1">
      <alignment horizontal="center" vertical="center"/>
      <protection locked="0"/>
    </xf>
    <xf numFmtId="0" fontId="22" fillId="4" borderId="27" xfId="6" applyFont="1" applyFill="1" applyBorder="1" applyAlignment="1" applyProtection="1">
      <alignment horizontal="center" vertical="center"/>
      <protection locked="0"/>
    </xf>
    <xf numFmtId="0" fontId="22" fillId="4" borderId="47" xfId="6" applyFont="1" applyFill="1" applyBorder="1" applyAlignment="1" applyProtection="1">
      <alignment horizontal="center" vertical="center"/>
      <protection locked="0"/>
    </xf>
    <xf numFmtId="0" fontId="22" fillId="4" borderId="48" xfId="6" applyFont="1" applyFill="1" applyBorder="1" applyAlignment="1" applyProtection="1">
      <alignment horizontal="center" vertical="center"/>
      <protection locked="0"/>
    </xf>
    <xf numFmtId="0" fontId="49" fillId="0" borderId="7" xfId="0" applyFont="1" applyBorder="1" applyAlignment="1" applyProtection="1">
      <alignment horizontal="center" vertical="center"/>
      <protection locked="0"/>
    </xf>
    <xf numFmtId="0" fontId="49" fillId="0" borderId="11" xfId="0" applyFont="1" applyBorder="1" applyAlignment="1" applyProtection="1">
      <alignment horizontal="center" vertical="center"/>
      <protection locked="0"/>
    </xf>
    <xf numFmtId="0" fontId="49" fillId="0" borderId="8" xfId="0" applyFont="1" applyBorder="1" applyAlignment="1" applyProtection="1">
      <alignment horizontal="center" vertical="center"/>
      <protection locked="0"/>
    </xf>
    <xf numFmtId="0" fontId="49" fillId="0" borderId="7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176" fontId="65" fillId="5" borderId="2" xfId="0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62" fillId="0" borderId="33" xfId="0" applyFont="1" applyBorder="1" applyAlignment="1" applyProtection="1">
      <alignment horizontal="center" vertical="center"/>
      <protection locked="0"/>
    </xf>
    <xf numFmtId="0" fontId="62" fillId="0" borderId="29" xfId="0" applyFont="1" applyBorder="1" applyAlignment="1" applyProtection="1">
      <alignment horizontal="center" vertical="center"/>
      <protection locked="0"/>
    </xf>
    <xf numFmtId="0" fontId="62" fillId="0" borderId="30" xfId="0" applyFont="1" applyBorder="1" applyAlignment="1" applyProtection="1">
      <alignment horizontal="center" vertical="center"/>
      <protection locked="0"/>
    </xf>
    <xf numFmtId="0" fontId="22" fillId="0" borderId="33" xfId="6" applyFont="1" applyBorder="1" applyAlignment="1" applyProtection="1">
      <alignment horizontal="center" vertical="center" textRotation="255"/>
      <protection locked="0"/>
    </xf>
    <xf numFmtId="0" fontId="22" fillId="0" borderId="1" xfId="6" applyFont="1" applyBorder="1" applyAlignment="1" applyProtection="1">
      <alignment horizontal="center" vertical="center" textRotation="255"/>
      <protection locked="0"/>
    </xf>
    <xf numFmtId="0" fontId="22" fillId="0" borderId="14" xfId="6" applyFont="1" applyBorder="1" applyAlignment="1" applyProtection="1">
      <alignment horizontal="center" vertical="center" textRotation="255"/>
      <protection locked="0"/>
    </xf>
    <xf numFmtId="0" fontId="27" fillId="9" borderId="27" xfId="6" applyFont="1" applyFill="1" applyBorder="1" applyAlignment="1" applyProtection="1">
      <alignment horizontal="center" vertical="center"/>
      <protection locked="0"/>
    </xf>
    <xf numFmtId="0" fontId="27" fillId="9" borderId="47" xfId="6" applyFont="1" applyFill="1" applyBorder="1" applyAlignment="1" applyProtection="1">
      <alignment horizontal="center" vertical="center"/>
      <protection locked="0"/>
    </xf>
    <xf numFmtId="0" fontId="27" fillId="9" borderId="48" xfId="6" applyFont="1" applyFill="1" applyBorder="1" applyAlignment="1" applyProtection="1">
      <alignment horizontal="center" vertical="center"/>
      <protection locked="0"/>
    </xf>
    <xf numFmtId="0" fontId="49" fillId="0" borderId="7" xfId="0" applyFont="1" applyBorder="1" applyAlignment="1" applyProtection="1">
      <alignment horizontal="center" vertical="center" wrapText="1"/>
      <protection locked="0"/>
    </xf>
    <xf numFmtId="0" fontId="49" fillId="0" borderId="8" xfId="0" applyFont="1" applyBorder="1" applyAlignment="1" applyProtection="1">
      <alignment horizontal="center" vertical="center" wrapText="1"/>
      <protection locked="0"/>
    </xf>
    <xf numFmtId="0" fontId="49" fillId="0" borderId="12" xfId="0" applyFont="1" applyBorder="1" applyAlignment="1" applyProtection="1">
      <alignment horizontal="center" vertical="center"/>
      <protection locked="0"/>
    </xf>
    <xf numFmtId="0" fontId="0" fillId="0" borderId="0" xfId="0"/>
    <xf numFmtId="0" fontId="22" fillId="0" borderId="27" xfId="6" applyFont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6" fillId="0" borderId="7" xfId="6" applyFont="1" applyBorder="1" applyAlignment="1" applyProtection="1">
      <alignment horizontal="center" vertical="center" wrapText="1" shrinkToFit="1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2" fillId="0" borderId="17" xfId="6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8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9" fillId="0" borderId="77" xfId="0" applyFont="1" applyBorder="1" applyAlignment="1">
      <alignment horizontal="left" vertical="center" wrapText="1"/>
    </xf>
    <xf numFmtId="0" fontId="0" fillId="0" borderId="104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0" fillId="0" borderId="105" xfId="0" applyBorder="1" applyAlignment="1">
      <alignment horizontal="left" vertical="center"/>
    </xf>
    <xf numFmtId="41" fontId="63" fillId="11" borderId="11" xfId="0" applyNumberFormat="1" applyFont="1" applyFill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center" vertical="center"/>
    </xf>
    <xf numFmtId="0" fontId="49" fillId="0" borderId="65" xfId="0" applyFont="1" applyBorder="1" applyAlignment="1" applyProtection="1">
      <alignment horizontal="left" vertical="center" wrapText="1"/>
      <protection locked="0"/>
    </xf>
    <xf numFmtId="0" fontId="0" fillId="0" borderId="75" xfId="0" applyBorder="1" applyAlignment="1">
      <alignment horizontal="left" vertical="center"/>
    </xf>
    <xf numFmtId="0" fontId="49" fillId="0" borderId="66" xfId="0" applyFont="1" applyBorder="1" applyAlignment="1" applyProtection="1">
      <alignment horizontal="left" vertical="center"/>
      <protection locked="0"/>
    </xf>
    <xf numFmtId="0" fontId="49" fillId="0" borderId="67" xfId="0" applyFont="1" applyBorder="1" applyAlignment="1" applyProtection="1">
      <alignment horizontal="center" vertical="center"/>
      <protection locked="0"/>
    </xf>
    <xf numFmtId="0" fontId="49" fillId="0" borderId="13" xfId="0" applyFont="1" applyBorder="1" applyAlignment="1" applyProtection="1">
      <alignment horizontal="center" vertical="center"/>
      <protection locked="0"/>
    </xf>
    <xf numFmtId="41" fontId="54" fillId="11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54" fillId="11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1" fontId="54" fillId="11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4" fillId="0" borderId="7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4" fillId="0" borderId="50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41" fontId="54" fillId="0" borderId="13" xfId="0" applyNumberFormat="1" applyFont="1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74" fillId="0" borderId="6" xfId="9" applyNumberFormat="1" applyFont="1" applyFill="1" applyBorder="1" applyAlignment="1" applyProtection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16" borderId="31" xfId="0" applyFill="1" applyBorder="1"/>
    <xf numFmtId="0" fontId="0" fillId="16" borderId="32" xfId="0" applyFill="1" applyBorder="1"/>
    <xf numFmtId="0" fontId="0" fillId="16" borderId="43" xfId="0" applyFill="1" applyBorder="1"/>
    <xf numFmtId="0" fontId="49" fillId="0" borderId="33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4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7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1" fontId="17" fillId="0" borderId="0" xfId="0" applyNumberFormat="1" applyFont="1" applyAlignment="1">
      <alignment horizontal="center" vertical="center"/>
    </xf>
    <xf numFmtId="41" fontId="49" fillId="0" borderId="19" xfId="6" applyNumberFormat="1" applyFont="1" applyBorder="1" applyAlignment="1">
      <alignment horizontal="center" vertical="center"/>
    </xf>
    <xf numFmtId="41" fontId="9" fillId="0" borderId="109" xfId="0" applyNumberFormat="1" applyFont="1" applyBorder="1" applyAlignment="1">
      <alignment horizontal="center" vertical="center"/>
    </xf>
    <xf numFmtId="41" fontId="9" fillId="0" borderId="49" xfId="0" applyNumberFormat="1" applyFont="1" applyBorder="1" applyAlignment="1">
      <alignment horizontal="center" vertical="center"/>
    </xf>
    <xf numFmtId="41" fontId="9" fillId="0" borderId="110" xfId="0" applyNumberFormat="1" applyFont="1" applyBorder="1" applyAlignment="1">
      <alignment horizontal="center" vertical="center"/>
    </xf>
    <xf numFmtId="41" fontId="9" fillId="0" borderId="39" xfId="0" applyNumberFormat="1" applyFont="1" applyBorder="1" applyAlignment="1">
      <alignment horizontal="center" vertical="center"/>
    </xf>
    <xf numFmtId="41" fontId="9" fillId="0" borderId="69" xfId="0" applyNumberFormat="1" applyFont="1" applyBorder="1" applyAlignment="1">
      <alignment horizontal="center" vertical="center"/>
    </xf>
    <xf numFmtId="41" fontId="9" fillId="0" borderId="42" xfId="0" applyNumberFormat="1" applyFont="1" applyBorder="1" applyAlignment="1">
      <alignment horizontal="center" vertical="center"/>
    </xf>
    <xf numFmtId="41" fontId="9" fillId="0" borderId="43" xfId="0" applyNumberFormat="1" applyFont="1" applyBorder="1" applyAlignment="1">
      <alignment horizontal="center" vertical="center"/>
    </xf>
    <xf numFmtId="41" fontId="49" fillId="0" borderId="61" xfId="6" applyNumberFormat="1" applyFont="1" applyBorder="1" applyProtection="1">
      <alignment vertical="center"/>
      <protection locked="0"/>
    </xf>
    <xf numFmtId="41" fontId="0" fillId="0" borderId="38" xfId="0" applyNumberFormat="1" applyBorder="1" applyAlignment="1">
      <alignment vertical="center"/>
    </xf>
    <xf numFmtId="0" fontId="49" fillId="0" borderId="29" xfId="6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41" fontId="0" fillId="7" borderId="0" xfId="0" applyNumberFormat="1" applyFill="1" applyAlignment="1">
      <alignment horizontal="center"/>
    </xf>
    <xf numFmtId="41" fontId="24" fillId="0" borderId="0" xfId="6" applyNumberFormat="1" applyFont="1" applyAlignment="1" applyProtection="1">
      <alignment horizontal="center" vertical="center"/>
      <protection locked="0"/>
    </xf>
    <xf numFmtId="41" fontId="49" fillId="0" borderId="8" xfId="6" applyNumberFormat="1" applyFon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50" fillId="0" borderId="2" xfId="6" applyNumberFormat="1" applyFont="1" applyBorder="1" applyAlignment="1">
      <alignment horizontal="center" vertical="center"/>
    </xf>
    <xf numFmtId="41" fontId="92" fillId="0" borderId="7" xfId="0" applyNumberFormat="1" applyFont="1" applyBorder="1" applyAlignment="1">
      <alignment vertical="center"/>
    </xf>
    <xf numFmtId="0" fontId="4" fillId="4" borderId="37" xfId="6" applyFont="1" applyFill="1" applyBorder="1" applyAlignment="1" applyProtection="1">
      <alignment horizontal="center" vertical="center" wrapText="1"/>
      <protection locked="0"/>
    </xf>
    <xf numFmtId="0" fontId="9" fillId="0" borderId="62" xfId="0" applyFont="1" applyBorder="1" applyAlignment="1">
      <alignment horizontal="center" vertical="center" wrapText="1"/>
    </xf>
    <xf numFmtId="41" fontId="49" fillId="0" borderId="2" xfId="6" applyNumberFormat="1" applyFont="1" applyBorder="1" applyProtection="1">
      <alignment vertical="center"/>
      <protection locked="0"/>
    </xf>
    <xf numFmtId="41" fontId="0" fillId="0" borderId="7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0" fontId="49" fillId="0" borderId="2" xfId="6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2" fillId="4" borderId="82" xfId="6" applyFont="1" applyFill="1" applyBorder="1" applyAlignment="1" applyProtection="1">
      <alignment horizontal="center" vertical="center"/>
      <protection locked="0"/>
    </xf>
    <xf numFmtId="0" fontId="7" fillId="0" borderId="83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18" fillId="4" borderId="82" xfId="6" applyFont="1" applyFill="1" applyBorder="1" applyAlignment="1" applyProtection="1">
      <alignment horizontal="center" vertical="center"/>
      <protection locked="0"/>
    </xf>
    <xf numFmtId="0" fontId="7" fillId="0" borderId="8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7" fillId="4" borderId="81" xfId="6" applyFont="1" applyFill="1" applyBorder="1" applyAlignment="1" applyProtection="1">
      <alignment horizontal="center" vertical="center" textRotation="255"/>
      <protection locked="0"/>
    </xf>
    <xf numFmtId="0" fontId="27" fillId="4" borderId="86" xfId="6" applyFont="1" applyFill="1" applyBorder="1" applyAlignment="1" applyProtection="1">
      <alignment horizontal="center" vertical="center" textRotation="255"/>
      <protection locked="0"/>
    </xf>
    <xf numFmtId="0" fontId="27" fillId="4" borderId="88" xfId="6" applyFont="1" applyFill="1" applyBorder="1" applyAlignment="1" applyProtection="1">
      <alignment horizontal="center" vertical="center" textRotation="255"/>
      <protection locked="0"/>
    </xf>
    <xf numFmtId="41" fontId="0" fillId="0" borderId="112" xfId="0" applyNumberFormat="1" applyBorder="1" applyAlignment="1">
      <alignment horizontal="center" vertical="center"/>
    </xf>
    <xf numFmtId="41" fontId="0" fillId="0" borderId="70" xfId="0" applyNumberFormat="1" applyBorder="1" applyAlignment="1">
      <alignment horizontal="center" vertical="center"/>
    </xf>
    <xf numFmtId="41" fontId="0" fillId="0" borderId="73" xfId="0" applyNumberFormat="1" applyBorder="1" applyAlignment="1">
      <alignment horizontal="center" vertical="center"/>
    </xf>
    <xf numFmtId="41" fontId="0" fillId="0" borderId="45" xfId="0" applyNumberFormat="1" applyBorder="1" applyAlignment="1">
      <alignment horizontal="center" vertical="center"/>
    </xf>
    <xf numFmtId="41" fontId="0" fillId="0" borderId="20" xfId="0" applyNumberFormat="1" applyBorder="1" applyAlignment="1">
      <alignment horizontal="center" vertical="center"/>
    </xf>
    <xf numFmtId="41" fontId="0" fillId="0" borderId="64" xfId="0" applyNumberFormat="1" applyBorder="1" applyAlignment="1">
      <alignment horizontal="center" vertical="center"/>
    </xf>
    <xf numFmtId="0" fontId="61" fillId="0" borderId="27" xfId="6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41" fontId="49" fillId="0" borderId="94" xfId="6" applyNumberFormat="1" applyFont="1" applyBorder="1" applyAlignment="1" applyProtection="1">
      <alignment horizontal="center" vertical="center"/>
      <protection locked="0"/>
    </xf>
    <xf numFmtId="41" fontId="49" fillId="0" borderId="95" xfId="6" applyNumberFormat="1" applyFont="1" applyBorder="1" applyAlignment="1" applyProtection="1">
      <alignment horizontal="center" vertical="center"/>
      <protection locked="0"/>
    </xf>
    <xf numFmtId="41" fontId="49" fillId="0" borderId="96" xfId="6" applyNumberFormat="1" applyFont="1" applyBorder="1" applyAlignment="1" applyProtection="1">
      <alignment horizontal="center" vertical="center"/>
      <protection locked="0"/>
    </xf>
    <xf numFmtId="41" fontId="49" fillId="0" borderId="97" xfId="6" applyNumberFormat="1" applyFont="1" applyBorder="1" applyAlignment="1" applyProtection="1">
      <alignment horizontal="center" vertical="center"/>
      <protection locked="0"/>
    </xf>
    <xf numFmtId="0" fontId="61" fillId="0" borderId="29" xfId="6" applyFont="1" applyBorder="1" applyAlignment="1" applyProtection="1">
      <alignment horizontal="center" vertical="center"/>
      <protection locked="0"/>
    </xf>
    <xf numFmtId="0" fontId="49" fillId="0" borderId="8" xfId="6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54" fillId="0" borderId="106" xfId="6" applyFont="1" applyBorder="1" applyAlignment="1" applyProtection="1">
      <alignment horizontal="left" vertical="center" wrapText="1"/>
      <protection locked="0"/>
    </xf>
    <xf numFmtId="0" fontId="0" fillId="0" borderId="107" xfId="0" applyBorder="1" applyAlignment="1">
      <alignment horizontal="left" vertical="center"/>
    </xf>
    <xf numFmtId="0" fontId="54" fillId="0" borderId="66" xfId="6" applyFont="1" applyBorder="1" applyAlignment="1" applyProtection="1">
      <alignment horizontal="left" vertical="center"/>
      <protection locked="0"/>
    </xf>
    <xf numFmtId="0" fontId="0" fillId="0" borderId="108" xfId="0" applyBorder="1" applyAlignment="1">
      <alignment horizontal="left" vertical="center"/>
    </xf>
    <xf numFmtId="0" fontId="22" fillId="0" borderId="47" xfId="6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22" fillId="0" borderId="18" xfId="6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49" fillId="0" borderId="2" xfId="6" applyFont="1" applyBorder="1" applyAlignment="1" applyProtection="1">
      <alignment horizontal="center" vertical="center"/>
      <protection locked="0"/>
    </xf>
    <xf numFmtId="41" fontId="49" fillId="0" borderId="102" xfId="6" applyNumberFormat="1" applyFont="1" applyBorder="1" applyAlignment="1" applyProtection="1">
      <alignment horizontal="center" vertical="center"/>
      <protection locked="0"/>
    </xf>
    <xf numFmtId="41" fontId="49" fillId="0" borderId="103" xfId="6" applyNumberFormat="1" applyFont="1" applyBorder="1" applyAlignment="1" applyProtection="1">
      <alignment horizontal="center" vertical="center"/>
      <protection locked="0"/>
    </xf>
    <xf numFmtId="0" fontId="76" fillId="7" borderId="33" xfId="6" applyFont="1" applyFill="1" applyBorder="1" applyAlignment="1" applyProtection="1">
      <alignment horizontal="center" vertical="center" textRotation="255"/>
      <protection locked="0"/>
    </xf>
    <xf numFmtId="0" fontId="76" fillId="7" borderId="1" xfId="6" applyFont="1" applyFill="1" applyBorder="1" applyAlignment="1" applyProtection="1">
      <alignment horizontal="center" vertical="center" textRotation="255"/>
      <protection locked="0"/>
    </xf>
    <xf numFmtId="0" fontId="76" fillId="7" borderId="14" xfId="6" applyFont="1" applyFill="1" applyBorder="1" applyAlignment="1" applyProtection="1">
      <alignment horizontal="center" vertical="center" textRotation="255"/>
      <protection locked="0"/>
    </xf>
    <xf numFmtId="0" fontId="49" fillId="7" borderId="2" xfId="6" applyFont="1" applyFill="1" applyBorder="1" applyAlignment="1" applyProtection="1">
      <alignment horizontal="center" vertical="center"/>
      <protection locked="0"/>
    </xf>
    <xf numFmtId="41" fontId="53" fillId="0" borderId="102" xfId="6" applyNumberFormat="1" applyFont="1" applyBorder="1" applyAlignment="1" applyProtection="1">
      <alignment horizontal="center" vertical="center"/>
      <protection locked="0"/>
    </xf>
    <xf numFmtId="0" fontId="0" fillId="0" borderId="102" xfId="0" applyBorder="1" applyAlignment="1">
      <alignment horizontal="center" vertical="center"/>
    </xf>
    <xf numFmtId="0" fontId="49" fillId="7" borderId="92" xfId="6" applyFont="1" applyFill="1" applyBorder="1" applyAlignment="1" applyProtection="1">
      <alignment horizontal="left" vertical="center" wrapText="1"/>
      <protection locked="0"/>
    </xf>
    <xf numFmtId="0" fontId="0" fillId="7" borderId="92" xfId="0" applyFill="1" applyBorder="1" applyAlignment="1">
      <alignment horizontal="left" vertical="center" wrapText="1"/>
    </xf>
    <xf numFmtId="0" fontId="49" fillId="7" borderId="93" xfId="6" applyFont="1" applyFill="1" applyBorder="1" applyAlignment="1" applyProtection="1">
      <alignment horizontal="left" vertical="center" wrapText="1"/>
      <protection locked="0"/>
    </xf>
    <xf numFmtId="0" fontId="0" fillId="7" borderId="93" xfId="0" applyFill="1" applyBorder="1" applyAlignment="1">
      <alignment horizontal="left" vertical="center" wrapText="1"/>
    </xf>
    <xf numFmtId="0" fontId="49" fillId="7" borderId="15" xfId="6" applyFont="1" applyFill="1" applyBorder="1" applyAlignment="1" applyProtection="1">
      <alignment horizontal="center" vertical="center"/>
      <protection locked="0"/>
    </xf>
    <xf numFmtId="0" fontId="49" fillId="0" borderId="15" xfId="6" applyFont="1" applyBorder="1" applyAlignment="1" applyProtection="1">
      <alignment horizontal="center" vertical="center"/>
      <protection locked="0"/>
    </xf>
    <xf numFmtId="0" fontId="61" fillId="0" borderId="2" xfId="6" applyFont="1" applyBorder="1" applyAlignment="1" applyProtection="1">
      <alignment horizontal="center" vertical="center"/>
      <protection locked="0"/>
    </xf>
    <xf numFmtId="0" fontId="57" fillId="0" borderId="29" xfId="6" applyFont="1" applyBorder="1" applyAlignment="1" applyProtection="1">
      <alignment horizontal="center" vertical="center" wrapText="1"/>
      <protection locked="0"/>
    </xf>
    <xf numFmtId="0" fontId="57" fillId="0" borderId="2" xfId="6" applyFont="1" applyBorder="1" applyAlignment="1" applyProtection="1">
      <alignment horizontal="center" vertical="center" wrapText="1"/>
      <protection locked="0"/>
    </xf>
    <xf numFmtId="41" fontId="49" fillId="0" borderId="100" xfId="6" applyNumberFormat="1" applyFont="1" applyBorder="1" applyAlignment="1" applyProtection="1">
      <alignment horizontal="center" vertical="center"/>
      <protection locked="0"/>
    </xf>
    <xf numFmtId="41" fontId="49" fillId="0" borderId="101" xfId="6" applyNumberFormat="1" applyFont="1" applyBorder="1" applyAlignment="1" applyProtection="1">
      <alignment horizontal="center" vertical="center"/>
      <protection locked="0"/>
    </xf>
    <xf numFmtId="41" fontId="49" fillId="0" borderId="98" xfId="6" applyNumberFormat="1" applyFont="1" applyBorder="1" applyAlignment="1" applyProtection="1">
      <alignment horizontal="center" vertical="center"/>
      <protection locked="0"/>
    </xf>
    <xf numFmtId="41" fontId="49" fillId="0" borderId="99" xfId="6" applyNumberFormat="1" applyFont="1" applyBorder="1" applyAlignment="1" applyProtection="1">
      <alignment horizontal="center" vertical="center"/>
      <protection locked="0"/>
    </xf>
    <xf numFmtId="41" fontId="49" fillId="16" borderId="102" xfId="6" applyNumberFormat="1" applyFont="1" applyFill="1" applyBorder="1" applyAlignment="1" applyProtection="1">
      <alignment horizontal="center" vertical="center"/>
      <protection locked="0"/>
    </xf>
    <xf numFmtId="41" fontId="49" fillId="16" borderId="103" xfId="6" applyNumberFormat="1" applyFont="1" applyFill="1" applyBorder="1" applyAlignment="1" applyProtection="1">
      <alignment horizontal="center" vertical="center"/>
      <protection locked="0"/>
    </xf>
    <xf numFmtId="41" fontId="49" fillId="16" borderId="8" xfId="6" applyNumberFormat="1" applyFont="1" applyFill="1" applyBorder="1" applyAlignment="1">
      <alignment horizontal="center" vertical="center"/>
    </xf>
    <xf numFmtId="41" fontId="0" fillId="16" borderId="8" xfId="0" applyNumberFormat="1" applyFill="1" applyBorder="1" applyAlignment="1">
      <alignment horizontal="center" vertical="center"/>
    </xf>
    <xf numFmtId="41" fontId="49" fillId="16" borderId="2" xfId="6" applyNumberFormat="1" applyFont="1" applyFill="1" applyBorder="1" applyProtection="1">
      <alignment vertical="center"/>
      <protection locked="0"/>
    </xf>
    <xf numFmtId="41" fontId="0" fillId="16" borderId="7" xfId="0" applyNumberFormat="1" applyFill="1" applyBorder="1" applyAlignment="1">
      <alignment vertical="center"/>
    </xf>
    <xf numFmtId="41" fontId="0" fillId="16" borderId="2" xfId="0" applyNumberFormat="1" applyFill="1" applyBorder="1" applyAlignment="1">
      <alignment vertical="center"/>
    </xf>
    <xf numFmtId="41" fontId="49" fillId="16" borderId="61" xfId="6" applyNumberFormat="1" applyFont="1" applyFill="1" applyBorder="1" applyProtection="1">
      <alignment vertical="center"/>
      <protection locked="0"/>
    </xf>
    <xf numFmtId="41" fontId="0" fillId="16" borderId="38" xfId="0" applyNumberFormat="1" applyFill="1" applyBorder="1" applyAlignment="1">
      <alignment vertical="center"/>
    </xf>
    <xf numFmtId="0" fontId="32" fillId="6" borderId="32" xfId="0" applyFont="1" applyFill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61" fillId="0" borderId="33" xfId="6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41" fontId="58" fillId="10" borderId="2" xfId="6" applyNumberFormat="1" applyFont="1" applyFill="1" applyBorder="1" applyAlignment="1" applyProtection="1">
      <alignment horizontal="center" vertical="center" wrapText="1"/>
      <protection locked="0"/>
    </xf>
    <xf numFmtId="41" fontId="45" fillId="0" borderId="2" xfId="0" applyNumberFormat="1" applyFont="1" applyBorder="1" applyAlignment="1">
      <alignment horizontal="center" vertical="center" wrapText="1"/>
    </xf>
    <xf numFmtId="41" fontId="45" fillId="0" borderId="2" xfId="0" applyNumberFormat="1" applyFont="1" applyBorder="1" applyAlignment="1">
      <alignment vertical="center"/>
    </xf>
    <xf numFmtId="41" fontId="58" fillId="0" borderId="2" xfId="6" applyNumberFormat="1" applyFont="1" applyBorder="1" applyAlignment="1">
      <alignment horizontal="center" vertical="center" wrapText="1"/>
    </xf>
    <xf numFmtId="41" fontId="58" fillId="0" borderId="2" xfId="6" applyNumberFormat="1" applyFont="1" applyBorder="1" applyAlignment="1">
      <alignment horizontal="center" vertical="center"/>
    </xf>
    <xf numFmtId="41" fontId="45" fillId="0" borderId="2" xfId="0" applyNumberFormat="1" applyFont="1" applyBorder="1" applyAlignment="1">
      <alignment horizontal="center" vertical="center"/>
    </xf>
    <xf numFmtId="41" fontId="45" fillId="0" borderId="4" xfId="0" applyNumberFormat="1" applyFont="1" applyBorder="1" applyAlignment="1">
      <alignment horizontal="center" vertical="center"/>
    </xf>
    <xf numFmtId="41" fontId="45" fillId="0" borderId="4" xfId="0" applyNumberFormat="1" applyFont="1" applyBorder="1" applyAlignment="1">
      <alignment vertical="center"/>
    </xf>
    <xf numFmtId="41" fontId="50" fillId="0" borderId="29" xfId="6" applyNumberFormat="1" applyFont="1" applyBorder="1" applyAlignment="1">
      <alignment horizontal="center" vertical="center"/>
    </xf>
    <xf numFmtId="41" fontId="92" fillId="0" borderId="29" xfId="0" applyNumberFormat="1" applyFont="1" applyBorder="1" applyAlignment="1">
      <alignment horizontal="center" vertical="center"/>
    </xf>
    <xf numFmtId="41" fontId="92" fillId="0" borderId="30" xfId="0" applyNumberFormat="1" applyFont="1" applyBorder="1" applyAlignment="1">
      <alignment vertical="center"/>
    </xf>
    <xf numFmtId="41" fontId="92" fillId="0" borderId="15" xfId="0" applyNumberFormat="1" applyFont="1" applyBorder="1" applyAlignment="1">
      <alignment horizontal="center" vertical="center"/>
    </xf>
    <xf numFmtId="41" fontId="92" fillId="0" borderId="5" xfId="0" applyNumberFormat="1" applyFont="1" applyBorder="1" applyAlignment="1">
      <alignment vertical="center"/>
    </xf>
    <xf numFmtId="0" fontId="4" fillId="0" borderId="55" xfId="0" applyFont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22" fillId="16" borderId="33" xfId="6" applyFont="1" applyFill="1" applyBorder="1" applyAlignment="1" applyProtection="1">
      <alignment horizontal="center" vertical="center" textRotation="255"/>
      <protection locked="0"/>
    </xf>
    <xf numFmtId="0" fontId="22" fillId="16" borderId="1" xfId="6" applyFont="1" applyFill="1" applyBorder="1" applyAlignment="1" applyProtection="1">
      <alignment horizontal="center" vertical="center" textRotation="255"/>
      <protection locked="0"/>
    </xf>
    <xf numFmtId="0" fontId="22" fillId="16" borderId="14" xfId="6" applyFont="1" applyFill="1" applyBorder="1" applyAlignment="1" applyProtection="1">
      <alignment horizontal="center" vertical="center" textRotation="255"/>
      <protection locked="0"/>
    </xf>
    <xf numFmtId="0" fontId="54" fillId="16" borderId="106" xfId="6" applyFont="1" applyFill="1" applyBorder="1" applyAlignment="1" applyProtection="1">
      <alignment horizontal="left" vertical="center" wrapText="1"/>
      <protection locked="0"/>
    </xf>
    <xf numFmtId="0" fontId="0" fillId="16" borderId="107" xfId="0" applyFill="1" applyBorder="1" applyAlignment="1">
      <alignment horizontal="left" vertical="center"/>
    </xf>
    <xf numFmtId="0" fontId="54" fillId="16" borderId="66" xfId="6" applyFont="1" applyFill="1" applyBorder="1" applyAlignment="1" applyProtection="1">
      <alignment horizontal="left" vertical="center"/>
      <protection locked="0"/>
    </xf>
    <xf numFmtId="0" fontId="0" fillId="16" borderId="108" xfId="0" applyFill="1" applyBorder="1" applyAlignment="1">
      <alignment horizontal="left" vertical="center"/>
    </xf>
    <xf numFmtId="0" fontId="61" fillId="16" borderId="29" xfId="6" applyFont="1" applyFill="1" applyBorder="1" applyAlignment="1" applyProtection="1">
      <alignment horizontal="center" vertical="center"/>
      <protection locked="0"/>
    </xf>
    <xf numFmtId="0" fontId="61" fillId="16" borderId="27" xfId="6" applyFont="1" applyFill="1" applyBorder="1" applyAlignment="1" applyProtection="1">
      <alignment horizontal="center" vertical="center" wrapText="1"/>
      <protection locked="0"/>
    </xf>
    <xf numFmtId="0" fontId="0" fillId="16" borderId="28" xfId="0" applyFill="1" applyBorder="1" applyAlignment="1">
      <alignment horizontal="center" vertical="center" wrapText="1"/>
    </xf>
    <xf numFmtId="0" fontId="0" fillId="16" borderId="30" xfId="0" applyFill="1" applyBorder="1" applyAlignment="1">
      <alignment horizontal="center" vertical="center"/>
    </xf>
    <xf numFmtId="0" fontId="53" fillId="16" borderId="8" xfId="6" applyFont="1" applyFill="1" applyBorder="1" applyAlignment="1" applyProtection="1">
      <alignment horizontal="center" vertical="center" wrapText="1"/>
      <protection locked="0"/>
    </xf>
    <xf numFmtId="0" fontId="7" fillId="16" borderId="8" xfId="0" applyFont="1" applyFill="1" applyBorder="1" applyAlignment="1">
      <alignment horizontal="center" vertical="center" wrapText="1"/>
    </xf>
    <xf numFmtId="0" fontId="54" fillId="16" borderId="2" xfId="6" applyFont="1" applyFill="1" applyBorder="1" applyAlignment="1" applyProtection="1">
      <alignment horizontal="center" vertical="center" wrapText="1"/>
      <protection locked="0"/>
    </xf>
    <xf numFmtId="0" fontId="8" fillId="16" borderId="7" xfId="0" applyFont="1" applyFill="1" applyBorder="1" applyAlignment="1">
      <alignment vertical="center"/>
    </xf>
    <xf numFmtId="0" fontId="8" fillId="16" borderId="2" xfId="0" applyFont="1" applyFill="1" applyBorder="1" applyAlignment="1">
      <alignment vertical="center"/>
    </xf>
    <xf numFmtId="0" fontId="10" fillId="16" borderId="37" xfId="6" applyFont="1" applyFill="1" applyBorder="1" applyAlignment="1" applyProtection="1">
      <alignment horizontal="center" vertical="center" wrapText="1"/>
      <protection locked="0"/>
    </xf>
    <xf numFmtId="0" fontId="7" fillId="16" borderId="62" xfId="0" applyFont="1" applyFill="1" applyBorder="1" applyAlignment="1">
      <alignment horizontal="center" vertical="center" wrapText="1"/>
    </xf>
    <xf numFmtId="0" fontId="49" fillId="16" borderId="2" xfId="6" applyFont="1" applyFill="1" applyBorder="1" applyAlignment="1" applyProtection="1">
      <alignment horizontal="center" vertical="center"/>
      <protection locked="0"/>
    </xf>
    <xf numFmtId="41" fontId="49" fillId="16" borderId="94" xfId="6" applyNumberFormat="1" applyFont="1" applyFill="1" applyBorder="1" applyAlignment="1" applyProtection="1">
      <alignment horizontal="center" vertical="center"/>
      <protection locked="0"/>
    </xf>
    <xf numFmtId="41" fontId="49" fillId="16" borderId="95" xfId="6" applyNumberFormat="1" applyFont="1" applyFill="1" applyBorder="1" applyAlignment="1" applyProtection="1">
      <alignment horizontal="center" vertical="center"/>
      <protection locked="0"/>
    </xf>
    <xf numFmtId="41" fontId="49" fillId="16" borderId="96" xfId="6" applyNumberFormat="1" applyFont="1" applyFill="1" applyBorder="1" applyAlignment="1" applyProtection="1">
      <alignment horizontal="center" vertical="center"/>
      <protection locked="0"/>
    </xf>
    <xf numFmtId="41" fontId="49" fillId="16" borderId="97" xfId="6" applyNumberFormat="1" applyFont="1" applyFill="1" applyBorder="1" applyAlignment="1" applyProtection="1">
      <alignment horizontal="center" vertical="center"/>
      <protection locked="0"/>
    </xf>
    <xf numFmtId="41" fontId="49" fillId="16" borderId="98" xfId="6" applyNumberFormat="1" applyFont="1" applyFill="1" applyBorder="1" applyAlignment="1" applyProtection="1">
      <alignment horizontal="center" vertical="center"/>
      <protection locked="0"/>
    </xf>
    <xf numFmtId="41" fontId="49" fillId="16" borderId="99" xfId="6" applyNumberFormat="1" applyFont="1" applyFill="1" applyBorder="1" applyAlignment="1" applyProtection="1">
      <alignment horizontal="center" vertical="center"/>
      <protection locked="0"/>
    </xf>
    <xf numFmtId="41" fontId="58" fillId="16" borderId="2" xfId="6" applyNumberFormat="1" applyFont="1" applyFill="1" applyBorder="1" applyAlignment="1">
      <alignment horizontal="center" vertical="center"/>
    </xf>
    <xf numFmtId="41" fontId="0" fillId="16" borderId="2" xfId="0" applyNumberFormat="1" applyFill="1" applyBorder="1" applyAlignment="1">
      <alignment horizontal="center" vertical="center"/>
    </xf>
    <xf numFmtId="41" fontId="0" fillId="16" borderId="4" xfId="0" applyNumberFormat="1" applyFill="1" applyBorder="1" applyAlignment="1">
      <alignment horizontal="center" vertical="center"/>
    </xf>
    <xf numFmtId="41" fontId="0" fillId="16" borderId="4" xfId="0" applyNumberFormat="1" applyFill="1" applyBorder="1" applyAlignment="1">
      <alignment vertical="center"/>
    </xf>
    <xf numFmtId="0" fontId="91" fillId="16" borderId="33" xfId="6" applyFont="1" applyFill="1" applyBorder="1" applyAlignment="1" applyProtection="1">
      <alignment horizontal="center" vertical="center" wrapText="1"/>
      <protection locked="0"/>
    </xf>
    <xf numFmtId="0" fontId="90" fillId="16" borderId="29" xfId="0" applyFont="1" applyFill="1" applyBorder="1" applyAlignment="1">
      <alignment vertical="center"/>
    </xf>
    <xf numFmtId="0" fontId="90" fillId="16" borderId="14" xfId="0" applyFont="1" applyFill="1" applyBorder="1" applyAlignment="1">
      <alignment vertical="center"/>
    </xf>
    <xf numFmtId="0" fontId="90" fillId="16" borderId="15" xfId="0" applyFont="1" applyFill="1" applyBorder="1" applyAlignment="1">
      <alignment vertical="center"/>
    </xf>
    <xf numFmtId="41" fontId="50" fillId="16" borderId="29" xfId="6" applyNumberFormat="1" applyFont="1" applyFill="1" applyBorder="1" applyAlignment="1">
      <alignment horizontal="center" vertical="center"/>
    </xf>
    <xf numFmtId="41" fontId="92" fillId="16" borderId="29" xfId="0" applyNumberFormat="1" applyFont="1" applyFill="1" applyBorder="1" applyAlignment="1">
      <alignment horizontal="center" vertical="center"/>
    </xf>
    <xf numFmtId="41" fontId="92" fillId="16" borderId="30" xfId="0" applyNumberFormat="1" applyFont="1" applyFill="1" applyBorder="1" applyAlignment="1">
      <alignment vertical="center"/>
    </xf>
    <xf numFmtId="41" fontId="92" fillId="16" borderId="15" xfId="0" applyNumberFormat="1" applyFont="1" applyFill="1" applyBorder="1" applyAlignment="1">
      <alignment horizontal="center" vertical="center"/>
    </xf>
    <xf numFmtId="41" fontId="92" fillId="16" borderId="5" xfId="0" applyNumberFormat="1" applyFont="1" applyFill="1" applyBorder="1" applyAlignment="1">
      <alignment vertical="center"/>
    </xf>
    <xf numFmtId="41" fontId="49" fillId="16" borderId="19" xfId="6" applyNumberFormat="1" applyFont="1" applyFill="1" applyBorder="1" applyAlignment="1">
      <alignment horizontal="center" vertical="center"/>
    </xf>
    <xf numFmtId="41" fontId="9" fillId="16" borderId="109" xfId="0" applyNumberFormat="1" applyFont="1" applyFill="1" applyBorder="1" applyAlignment="1">
      <alignment horizontal="center" vertical="center"/>
    </xf>
    <xf numFmtId="41" fontId="9" fillId="16" borderId="49" xfId="0" applyNumberFormat="1" applyFont="1" applyFill="1" applyBorder="1" applyAlignment="1">
      <alignment horizontal="center" vertical="center"/>
    </xf>
    <xf numFmtId="41" fontId="9" fillId="16" borderId="110" xfId="0" applyNumberFormat="1" applyFont="1" applyFill="1" applyBorder="1" applyAlignment="1">
      <alignment horizontal="center" vertical="center"/>
    </xf>
    <xf numFmtId="41" fontId="9" fillId="16" borderId="39" xfId="0" applyNumberFormat="1" applyFont="1" applyFill="1" applyBorder="1" applyAlignment="1">
      <alignment horizontal="center" vertical="center"/>
    </xf>
    <xf numFmtId="41" fontId="9" fillId="16" borderId="69" xfId="0" applyNumberFormat="1" applyFont="1" applyFill="1" applyBorder="1" applyAlignment="1">
      <alignment horizontal="center" vertical="center"/>
    </xf>
    <xf numFmtId="41" fontId="9" fillId="16" borderId="42" xfId="0" applyNumberFormat="1" applyFont="1" applyFill="1" applyBorder="1" applyAlignment="1">
      <alignment horizontal="center" vertical="center"/>
    </xf>
    <xf numFmtId="41" fontId="9" fillId="16" borderId="43" xfId="0" applyNumberFormat="1" applyFont="1" applyFill="1" applyBorder="1" applyAlignment="1">
      <alignment horizontal="center" vertical="center"/>
    </xf>
    <xf numFmtId="0" fontId="0" fillId="16" borderId="56" xfId="0" applyFill="1" applyBorder="1" applyAlignment="1">
      <alignment horizontal="center" vertical="center"/>
    </xf>
    <xf numFmtId="0" fontId="0" fillId="16" borderId="44" xfId="0" applyFill="1" applyBorder="1" applyAlignment="1">
      <alignment horizontal="center" vertical="center"/>
    </xf>
    <xf numFmtId="0" fontId="63" fillId="16" borderId="2" xfId="6" applyFont="1" applyFill="1" applyBorder="1" applyAlignment="1" applyProtection="1">
      <alignment horizontal="center" vertical="center" wrapText="1"/>
      <protection locked="0"/>
    </xf>
    <xf numFmtId="0" fontId="90" fillId="16" borderId="2" xfId="0" applyFont="1" applyFill="1" applyBorder="1" applyAlignment="1">
      <alignment vertical="center"/>
    </xf>
    <xf numFmtId="41" fontId="58" fillId="16" borderId="2" xfId="6" applyNumberFormat="1" applyFont="1" applyFill="1" applyBorder="1" applyAlignment="1">
      <alignment horizontal="center" vertical="center" wrapText="1"/>
    </xf>
    <xf numFmtId="41" fontId="0" fillId="16" borderId="2" xfId="0" applyNumberFormat="1" applyFill="1" applyBorder="1" applyAlignment="1">
      <alignment horizontal="center" vertical="center" wrapText="1"/>
    </xf>
    <xf numFmtId="0" fontId="76" fillId="16" borderId="33" xfId="6" applyFont="1" applyFill="1" applyBorder="1" applyAlignment="1" applyProtection="1">
      <alignment horizontal="center" vertical="center" textRotation="255"/>
      <protection locked="0"/>
    </xf>
    <xf numFmtId="0" fontId="76" fillId="16" borderId="1" xfId="6" applyFont="1" applyFill="1" applyBorder="1" applyAlignment="1" applyProtection="1">
      <alignment horizontal="center" vertical="center" textRotation="255"/>
      <protection locked="0"/>
    </xf>
    <xf numFmtId="0" fontId="76" fillId="16" borderId="14" xfId="6" applyFont="1" applyFill="1" applyBorder="1" applyAlignment="1" applyProtection="1">
      <alignment horizontal="center" vertical="center" textRotation="255"/>
      <protection locked="0"/>
    </xf>
    <xf numFmtId="0" fontId="49" fillId="16" borderId="15" xfId="6" applyFont="1" applyFill="1" applyBorder="1" applyAlignment="1" applyProtection="1">
      <alignment horizontal="center" vertical="center"/>
      <protection locked="0"/>
    </xf>
    <xf numFmtId="41" fontId="49" fillId="16" borderId="100" xfId="6" applyNumberFormat="1" applyFont="1" applyFill="1" applyBorder="1" applyAlignment="1" applyProtection="1">
      <alignment horizontal="center" vertical="center"/>
      <protection locked="0"/>
    </xf>
    <xf numFmtId="41" fontId="49" fillId="16" borderId="101" xfId="6" applyNumberFormat="1" applyFont="1" applyFill="1" applyBorder="1" applyAlignment="1" applyProtection="1">
      <alignment horizontal="center" vertical="center"/>
      <protection locked="0"/>
    </xf>
    <xf numFmtId="0" fontId="90" fillId="16" borderId="4" xfId="0" applyFont="1" applyFill="1" applyBorder="1" applyAlignment="1">
      <alignment vertical="center"/>
    </xf>
    <xf numFmtId="41" fontId="53" fillId="16" borderId="102" xfId="6" applyNumberFormat="1" applyFont="1" applyFill="1" applyBorder="1" applyAlignment="1" applyProtection="1">
      <alignment horizontal="center" vertical="center"/>
      <protection locked="0"/>
    </xf>
    <xf numFmtId="0" fontId="0" fillId="16" borderId="102" xfId="0" applyFill="1" applyBorder="1" applyAlignment="1">
      <alignment horizontal="center" vertical="center"/>
    </xf>
    <xf numFmtId="0" fontId="49" fillId="16" borderId="92" xfId="6" applyFont="1" applyFill="1" applyBorder="1" applyAlignment="1" applyProtection="1">
      <alignment horizontal="left" vertical="center" wrapText="1"/>
      <protection locked="0"/>
    </xf>
    <xf numFmtId="0" fontId="0" fillId="16" borderId="92" xfId="0" applyFill="1" applyBorder="1" applyAlignment="1">
      <alignment horizontal="left" vertical="center" wrapText="1"/>
    </xf>
    <xf numFmtId="0" fontId="49" fillId="16" borderId="93" xfId="6" applyFont="1" applyFill="1" applyBorder="1" applyAlignment="1" applyProtection="1">
      <alignment horizontal="left" vertical="center" wrapText="1"/>
      <protection locked="0"/>
    </xf>
    <xf numFmtId="0" fontId="0" fillId="16" borderId="93" xfId="0" applyFill="1" applyBorder="1" applyAlignment="1">
      <alignment horizontal="left" vertical="center" wrapText="1"/>
    </xf>
    <xf numFmtId="0" fontId="61" fillId="16" borderId="2" xfId="6" applyFont="1" applyFill="1" applyBorder="1" applyAlignment="1" applyProtection="1">
      <alignment horizontal="center" vertical="center"/>
      <protection locked="0"/>
    </xf>
    <xf numFmtId="0" fontId="57" fillId="16" borderId="29" xfId="6" applyFont="1" applyFill="1" applyBorder="1" applyAlignment="1" applyProtection="1">
      <alignment horizontal="center" vertical="center" wrapText="1"/>
      <protection locked="0"/>
    </xf>
    <xf numFmtId="0" fontId="57" fillId="16" borderId="2" xfId="6" applyFont="1" applyFill="1" applyBorder="1" applyAlignment="1" applyProtection="1">
      <alignment horizontal="center" vertical="center" wrapText="1"/>
      <protection locked="0"/>
    </xf>
    <xf numFmtId="0" fontId="49" fillId="16" borderId="29" xfId="6" applyFont="1" applyFill="1" applyBorder="1" applyAlignment="1" applyProtection="1">
      <alignment horizontal="center" vertical="center"/>
      <protection locked="0"/>
    </xf>
    <xf numFmtId="0" fontId="0" fillId="16" borderId="2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41" fontId="50" fillId="16" borderId="2" xfId="6" applyNumberFormat="1" applyFont="1" applyFill="1" applyBorder="1" applyAlignment="1">
      <alignment horizontal="center" vertical="center"/>
    </xf>
    <xf numFmtId="41" fontId="92" fillId="16" borderId="7" xfId="0" applyNumberFormat="1" applyFont="1" applyFill="1" applyBorder="1" applyAlignment="1">
      <alignment vertical="center"/>
    </xf>
    <xf numFmtId="0" fontId="39" fillId="8" borderId="19" xfId="2" applyFont="1" applyFill="1" applyBorder="1" applyAlignment="1">
      <alignment horizontal="center" vertical="center" wrapText="1"/>
    </xf>
    <xf numFmtId="0" fontId="39" fillId="8" borderId="21" xfId="2" applyFont="1" applyFill="1" applyBorder="1" applyAlignment="1">
      <alignment horizontal="center" vertical="center" wrapText="1"/>
    </xf>
    <xf numFmtId="0" fontId="39" fillId="8" borderId="13" xfId="2" applyFont="1" applyFill="1" applyBorder="1" applyAlignment="1">
      <alignment horizontal="center" vertical="center" wrapText="1"/>
    </xf>
    <xf numFmtId="0" fontId="39" fillId="8" borderId="39" xfId="2" applyFont="1" applyFill="1" applyBorder="1" applyAlignment="1">
      <alignment horizontal="center" vertical="center" wrapText="1"/>
    </xf>
    <xf numFmtId="0" fontId="39" fillId="8" borderId="9" xfId="2" applyFont="1" applyFill="1" applyBorder="1" applyAlignment="1">
      <alignment horizontal="center" vertical="center" wrapText="1"/>
    </xf>
    <xf numFmtId="0" fontId="39" fillId="8" borderId="20" xfId="2" applyFont="1" applyFill="1" applyBorder="1" applyAlignment="1">
      <alignment horizontal="center" vertical="center" wrapText="1"/>
    </xf>
    <xf numFmtId="0" fontId="16" fillId="8" borderId="7" xfId="2" applyFont="1" applyFill="1" applyBorder="1" applyAlignment="1">
      <alignment horizontal="center" vertical="center" wrapText="1"/>
    </xf>
    <xf numFmtId="0" fontId="16" fillId="8" borderId="8" xfId="2" applyFont="1" applyFill="1" applyBorder="1" applyAlignment="1">
      <alignment horizontal="center" vertical="center" wrapText="1"/>
    </xf>
    <xf numFmtId="0" fontId="32" fillId="0" borderId="0" xfId="2" applyFont="1" applyAlignment="1" applyProtection="1">
      <alignment horizontal="center" vertical="center"/>
      <protection locked="0"/>
    </xf>
    <xf numFmtId="0" fontId="33" fillId="0" borderId="9" xfId="2" applyFont="1" applyBorder="1" applyAlignment="1" applyProtection="1">
      <alignment horizontal="center" wrapText="1"/>
      <protection locked="0"/>
    </xf>
    <xf numFmtId="0" fontId="16" fillId="8" borderId="2" xfId="2" applyFont="1" applyFill="1" applyBorder="1" applyAlignment="1" applyProtection="1">
      <alignment horizontal="center" vertical="center" wrapText="1"/>
      <protection locked="0"/>
    </xf>
    <xf numFmtId="0" fontId="16" fillId="8" borderId="4" xfId="2" applyFont="1" applyFill="1" applyBorder="1" applyAlignment="1" applyProtection="1">
      <alignment horizontal="center" vertical="center" wrapText="1"/>
      <protection locked="0"/>
    </xf>
    <xf numFmtId="0" fontId="36" fillId="8" borderId="4" xfId="2" applyFont="1" applyFill="1" applyBorder="1" applyAlignment="1" applyProtection="1">
      <alignment horizontal="center" vertical="center" wrapText="1"/>
      <protection locked="0"/>
    </xf>
    <xf numFmtId="0" fontId="36" fillId="8" borderId="34" xfId="2" applyFont="1" applyFill="1" applyBorder="1" applyAlignment="1" applyProtection="1">
      <alignment horizontal="center" vertical="center" wrapText="1"/>
      <protection locked="0"/>
    </xf>
    <xf numFmtId="0" fontId="36" fillId="8" borderId="7" xfId="2" applyFont="1" applyFill="1" applyBorder="1" applyAlignment="1" applyProtection="1">
      <alignment horizontal="center" vertical="center" wrapText="1"/>
      <protection locked="0"/>
    </xf>
    <xf numFmtId="0" fontId="36" fillId="8" borderId="8" xfId="2" applyFont="1" applyFill="1" applyBorder="1" applyAlignment="1" applyProtection="1">
      <alignment horizontal="center" vertical="center" wrapText="1"/>
      <protection locked="0"/>
    </xf>
    <xf numFmtId="0" fontId="93" fillId="0" borderId="111" xfId="0" applyFont="1" applyBorder="1" applyAlignment="1">
      <alignment horizontal="center" vertical="center" wrapText="1"/>
    </xf>
    <xf numFmtId="0" fontId="74" fillId="0" borderId="24" xfId="0" applyFont="1" applyBorder="1" applyAlignment="1">
      <alignment horizontal="center" vertical="top" wrapText="1"/>
    </xf>
    <xf numFmtId="0" fontId="74" fillId="0" borderId="35" xfId="0" applyFont="1" applyBorder="1" applyAlignment="1">
      <alignment horizontal="center" vertical="top" wrapText="1"/>
    </xf>
    <xf numFmtId="0" fontId="74" fillId="0" borderId="22" xfId="0" applyFont="1" applyBorder="1" applyAlignment="1">
      <alignment horizontal="center" vertical="top" wrapText="1"/>
    </xf>
    <xf numFmtId="0" fontId="74" fillId="0" borderId="24" xfId="0" applyFont="1" applyBorder="1" applyAlignment="1">
      <alignment horizontal="left" vertical="center" wrapText="1"/>
    </xf>
    <xf numFmtId="0" fontId="74" fillId="0" borderId="35" xfId="0" applyFont="1" applyBorder="1" applyAlignment="1">
      <alignment horizontal="left" vertical="center" wrapText="1"/>
    </xf>
    <xf numFmtId="0" fontId="74" fillId="0" borderId="22" xfId="0" applyFont="1" applyBorder="1" applyAlignment="1">
      <alignment horizontal="left" vertical="center" wrapText="1"/>
    </xf>
  </cellXfs>
  <cellStyles count="11">
    <cellStyle name="一般" xfId="0" builtinId="0"/>
    <cellStyle name="一般 2" xfId="1" xr:uid="{00000000-0005-0000-0000-000001000000}"/>
    <cellStyle name="一般 3" xfId="2" xr:uid="{00000000-0005-0000-0000-000002000000}"/>
    <cellStyle name="一般 4" xfId="5" xr:uid="{00000000-0005-0000-0000-000003000000}"/>
    <cellStyle name="一般 4 2" xfId="7" xr:uid="{00000000-0005-0000-0000-000004000000}"/>
    <cellStyle name="一般 4 3" xfId="8" xr:uid="{00000000-0005-0000-0000-000005000000}"/>
    <cellStyle name="一般 5" xfId="6" xr:uid="{00000000-0005-0000-0000-000006000000}"/>
    <cellStyle name="一般 6" xfId="10" xr:uid="{00000000-0005-0000-0000-000007000000}"/>
    <cellStyle name="千分位 2" xfId="4" xr:uid="{00000000-0005-0000-0000-000008000000}"/>
    <cellStyle name="千分位 3" xfId="9" xr:uid="{00000000-0005-0000-0000-000009000000}"/>
    <cellStyle name="百分比 2" xfId="3" xr:uid="{00000000-0005-0000-0000-00000A000000}"/>
  </cellStyles>
  <dxfs count="54"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  <colors>
    <mruColors>
      <color rgb="FF0000FF"/>
      <color rgb="FFFFFFCC"/>
      <color rgb="FFF7E6E5"/>
      <color rgb="FFF3DEDD"/>
      <color rgb="FFF9E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AN97"/>
  <sheetViews>
    <sheetView workbookViewId="0"/>
  </sheetViews>
  <sheetFormatPr defaultRowHeight="14.25"/>
  <cols>
    <col min="1" max="1" width="10" style="75" customWidth="1"/>
    <col min="2" max="2" width="14.83203125" style="75" bestFit="1" customWidth="1"/>
    <col min="3" max="3" width="12.5" style="75" customWidth="1"/>
    <col min="4" max="6" width="11.5" style="75" bestFit="1" customWidth="1"/>
    <col min="7" max="7" width="11.1640625" style="75" customWidth="1"/>
    <col min="8" max="8" width="11.5" style="75" bestFit="1" customWidth="1"/>
    <col min="9" max="11" width="11.1640625" style="75" customWidth="1"/>
    <col min="12" max="12" width="11.5" style="75" bestFit="1" customWidth="1"/>
    <col min="13" max="14" width="11.1640625" style="75" customWidth="1"/>
    <col min="15" max="17" width="11.33203125" style="75" customWidth="1"/>
    <col min="18" max="18" width="16.1640625" style="75" customWidth="1"/>
    <col min="19" max="19" width="15.6640625" style="75" customWidth="1"/>
    <col min="20" max="20" width="16.83203125" style="75" customWidth="1"/>
    <col min="21" max="21" width="17" style="75" customWidth="1"/>
    <col min="22" max="26" width="9.1640625" customWidth="1"/>
    <col min="27" max="42" width="13.1640625" customWidth="1"/>
  </cols>
  <sheetData>
    <row r="1" spans="1:40" ht="30" customHeight="1">
      <c r="A1" s="126" t="s">
        <v>125</v>
      </c>
      <c r="B1" s="126"/>
      <c r="C1" s="126"/>
      <c r="D1" s="126"/>
      <c r="E1" s="126"/>
      <c r="F1" s="126"/>
      <c r="G1" s="126"/>
      <c r="H1" s="127"/>
      <c r="I1" s="127"/>
      <c r="J1" s="127"/>
      <c r="N1" s="440" t="s">
        <v>226</v>
      </c>
      <c r="O1" s="440"/>
      <c r="P1" s="440"/>
      <c r="Q1" s="440"/>
      <c r="R1" s="440"/>
      <c r="S1" s="440"/>
      <c r="T1" s="440"/>
      <c r="U1" s="128"/>
      <c r="V1" s="128"/>
    </row>
    <row r="2" spans="1:40" ht="30">
      <c r="A2" s="126" t="s">
        <v>149</v>
      </c>
      <c r="B2" s="126"/>
      <c r="C2" s="126"/>
      <c r="D2" s="126"/>
      <c r="E2" s="126"/>
      <c r="F2" s="126"/>
      <c r="G2" s="126"/>
      <c r="H2" s="127"/>
      <c r="I2" s="127"/>
      <c r="J2" s="127"/>
      <c r="N2" s="440"/>
      <c r="O2" s="440"/>
      <c r="P2" s="440"/>
      <c r="Q2" s="440"/>
      <c r="R2" s="440"/>
      <c r="S2" s="440"/>
      <c r="T2" s="440"/>
      <c r="U2" s="128"/>
      <c r="V2" s="128"/>
    </row>
    <row r="3" spans="1:40" ht="14.25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V3" s="75"/>
    </row>
    <row r="4" spans="1:40" ht="34.5" customHeight="1" thickBot="1">
      <c r="A4" s="433" t="s">
        <v>262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106"/>
    </row>
    <row r="5" spans="1:40" ht="24.95" customHeight="1">
      <c r="A5" s="464" t="s">
        <v>92</v>
      </c>
      <c r="B5" s="474" t="s">
        <v>37</v>
      </c>
      <c r="C5" s="475"/>
      <c r="D5" s="475"/>
      <c r="E5" s="476"/>
      <c r="F5" s="467"/>
      <c r="G5" s="468"/>
      <c r="H5" s="468"/>
      <c r="I5" s="468"/>
      <c r="J5" s="468"/>
      <c r="K5" s="468"/>
      <c r="L5" s="469"/>
      <c r="M5" s="104"/>
      <c r="N5" s="403" t="s">
        <v>93</v>
      </c>
      <c r="O5" s="444" t="s">
        <v>38</v>
      </c>
      <c r="P5" s="445"/>
      <c r="Q5" s="445"/>
      <c r="R5" s="446" t="s">
        <v>39</v>
      </c>
      <c r="S5" s="447"/>
      <c r="T5" s="448"/>
      <c r="U5" s="18"/>
    </row>
    <row r="6" spans="1:40" ht="24.95" customHeight="1">
      <c r="A6" s="465"/>
      <c r="B6" s="441" t="s">
        <v>40</v>
      </c>
      <c r="C6" s="477"/>
      <c r="D6" s="477"/>
      <c r="E6" s="478"/>
      <c r="F6" s="53" t="s">
        <v>107</v>
      </c>
      <c r="G6" s="53" t="s">
        <v>108</v>
      </c>
      <c r="H6" s="53" t="s">
        <v>109</v>
      </c>
      <c r="I6" s="53" t="s">
        <v>110</v>
      </c>
      <c r="J6" s="53" t="s">
        <v>111</v>
      </c>
      <c r="K6" s="53" t="s">
        <v>112</v>
      </c>
      <c r="L6" s="54" t="s">
        <v>41</v>
      </c>
      <c r="M6" s="17"/>
      <c r="N6" s="404"/>
      <c r="O6" s="441" t="s">
        <v>71</v>
      </c>
      <c r="P6" s="442"/>
      <c r="Q6" s="113"/>
      <c r="R6" s="88" t="s">
        <v>42</v>
      </c>
      <c r="S6" s="96" t="s">
        <v>43</v>
      </c>
      <c r="T6" s="54" t="s">
        <v>41</v>
      </c>
      <c r="U6" s="97"/>
    </row>
    <row r="7" spans="1:40" ht="24.95" customHeight="1">
      <c r="A7" s="465"/>
      <c r="B7" s="441" t="s">
        <v>44</v>
      </c>
      <c r="C7" s="477"/>
      <c r="D7" s="477"/>
      <c r="E7" s="478"/>
      <c r="F7" s="113"/>
      <c r="G7" s="113"/>
      <c r="H7" s="113"/>
      <c r="I7" s="113"/>
      <c r="J7" s="113"/>
      <c r="K7" s="113"/>
      <c r="L7" s="52">
        <f>SUM(F7:K7)</f>
        <v>0</v>
      </c>
      <c r="M7" s="17"/>
      <c r="N7" s="404"/>
      <c r="O7" s="441" t="s">
        <v>67</v>
      </c>
      <c r="P7" s="442"/>
      <c r="Q7" s="443"/>
      <c r="R7" s="142">
        <f>花東B表!F34</f>
        <v>0</v>
      </c>
      <c r="S7" s="72">
        <f>花東B表!G34</f>
        <v>0</v>
      </c>
      <c r="T7" s="52">
        <f>R7+S7</f>
        <v>0</v>
      </c>
      <c r="U7" s="98"/>
    </row>
    <row r="8" spans="1:40" ht="25.5" customHeight="1">
      <c r="A8" s="465"/>
      <c r="B8" s="479" t="s">
        <v>156</v>
      </c>
      <c r="C8" s="480"/>
      <c r="D8" s="480"/>
      <c r="E8" s="481"/>
      <c r="F8" s="114"/>
      <c r="G8" s="114"/>
      <c r="H8" s="114"/>
      <c r="I8" s="114"/>
      <c r="J8" s="114"/>
      <c r="K8" s="114"/>
      <c r="L8" s="52">
        <f>SUM(F8:K8)</f>
        <v>0</v>
      </c>
      <c r="M8" s="17"/>
      <c r="N8" s="404"/>
      <c r="O8" s="53" t="s">
        <v>45</v>
      </c>
      <c r="P8" s="71" t="s">
        <v>46</v>
      </c>
      <c r="Q8" s="71" t="s">
        <v>41</v>
      </c>
      <c r="R8" s="143" t="s">
        <v>122</v>
      </c>
      <c r="S8" s="143" t="s">
        <v>123</v>
      </c>
      <c r="T8" s="54" t="s">
        <v>41</v>
      </c>
      <c r="U8" s="18"/>
    </row>
    <row r="9" spans="1:40" ht="24.95" customHeight="1" thickBot="1">
      <c r="A9" s="466"/>
      <c r="B9" s="482" t="s">
        <v>47</v>
      </c>
      <c r="C9" s="483"/>
      <c r="D9" s="483"/>
      <c r="E9" s="484"/>
      <c r="F9" s="50">
        <f>F7-F8</f>
        <v>0</v>
      </c>
      <c r="G9" s="50">
        <f t="shared" ref="G9:K9" si="0">G7-G8</f>
        <v>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50">
        <f t="shared" si="0"/>
        <v>0</v>
      </c>
      <c r="L9" s="51">
        <f>SUM(F9:K9)</f>
        <v>0</v>
      </c>
      <c r="M9" s="17"/>
      <c r="N9" s="405"/>
      <c r="O9" s="115"/>
      <c r="P9" s="204"/>
      <c r="Q9" s="50">
        <f>O9+P9</f>
        <v>0</v>
      </c>
      <c r="R9" s="105">
        <f>花東B表!D34</f>
        <v>0</v>
      </c>
      <c r="S9" s="108">
        <f>花東B表!E34</f>
        <v>0</v>
      </c>
      <c r="T9" s="51">
        <f>R9+S9</f>
        <v>0</v>
      </c>
      <c r="U9" s="98"/>
    </row>
    <row r="10" spans="1:40" ht="11.25" customHeight="1" thickBot="1">
      <c r="C10" s="83"/>
      <c r="F10" s="90"/>
      <c r="G10" s="91"/>
      <c r="H10" s="91"/>
      <c r="I10" s="91"/>
      <c r="J10" s="91"/>
      <c r="K10" s="92"/>
      <c r="L10" s="83"/>
      <c r="M10" s="83"/>
      <c r="N10" s="83"/>
      <c r="O10" s="83"/>
      <c r="P10" s="83"/>
      <c r="Q10" s="83"/>
      <c r="R10" s="83"/>
      <c r="S10" s="83"/>
      <c r="T10" s="83"/>
    </row>
    <row r="11" spans="1:40" ht="20.25" customHeight="1" thickBot="1">
      <c r="A11" s="493" t="s">
        <v>116</v>
      </c>
      <c r="B11" s="494"/>
      <c r="C11" s="461" t="s">
        <v>115</v>
      </c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3"/>
      <c r="O11" s="434" t="s">
        <v>124</v>
      </c>
      <c r="P11" s="435"/>
      <c r="Q11" s="435"/>
      <c r="R11" s="436"/>
      <c r="S11" s="117"/>
      <c r="T11" s="117"/>
      <c r="AA11" s="358" t="s">
        <v>138</v>
      </c>
      <c r="AB11" s="473"/>
      <c r="AC11" s="473"/>
      <c r="AD11" s="473"/>
      <c r="AE11" s="473"/>
      <c r="AF11" s="473"/>
      <c r="AG11" s="473"/>
      <c r="AH11" s="473"/>
    </row>
    <row r="12" spans="1:40" ht="36.950000000000003" customHeight="1">
      <c r="A12" s="495" t="s">
        <v>158</v>
      </c>
      <c r="B12" s="496"/>
      <c r="C12" s="498" t="s">
        <v>48</v>
      </c>
      <c r="D12" s="499"/>
      <c r="E12" s="449" t="s">
        <v>49</v>
      </c>
      <c r="F12" s="451"/>
      <c r="G12" s="449" t="s">
        <v>50</v>
      </c>
      <c r="H12" s="451"/>
      <c r="I12" s="449" t="s">
        <v>91</v>
      </c>
      <c r="J12" s="451"/>
      <c r="K12" s="470" t="s">
        <v>51</v>
      </c>
      <c r="L12" s="471"/>
      <c r="M12" s="449" t="s">
        <v>52</v>
      </c>
      <c r="N12" s="472"/>
      <c r="O12" s="152" t="s">
        <v>105</v>
      </c>
      <c r="P12" s="116" t="s">
        <v>104</v>
      </c>
      <c r="Q12" s="122" t="s">
        <v>106</v>
      </c>
      <c r="R12" s="125" t="s">
        <v>117</v>
      </c>
      <c r="S12" s="82" t="s">
        <v>119</v>
      </c>
      <c r="T12" s="103" t="s">
        <v>131</v>
      </c>
      <c r="U12" s="99"/>
      <c r="V12" s="359" t="s">
        <v>126</v>
      </c>
      <c r="W12" s="359"/>
      <c r="X12" s="359"/>
      <c r="Y12" s="359"/>
      <c r="Z12" s="146"/>
      <c r="AA12" s="351" t="s">
        <v>36</v>
      </c>
      <c r="AB12" s="352"/>
      <c r="AC12" s="354" t="s">
        <v>10</v>
      </c>
      <c r="AD12" s="352"/>
      <c r="AE12" s="353" t="s">
        <v>11</v>
      </c>
      <c r="AF12" s="352"/>
      <c r="AG12" s="355" t="s">
        <v>127</v>
      </c>
      <c r="AH12" s="352"/>
      <c r="AI12" s="2"/>
      <c r="AJ12" s="2"/>
      <c r="AK12" s="2"/>
      <c r="AL12" s="2"/>
      <c r="AM12" s="2"/>
      <c r="AN12" s="2"/>
    </row>
    <row r="13" spans="1:40" ht="24" customHeight="1">
      <c r="A13" s="497"/>
      <c r="B13" s="390"/>
      <c r="C13" s="123" t="s">
        <v>53</v>
      </c>
      <c r="D13" s="80" t="s">
        <v>54</v>
      </c>
      <c r="E13" s="80" t="s">
        <v>53</v>
      </c>
      <c r="F13" s="80" t="s">
        <v>54</v>
      </c>
      <c r="G13" s="80" t="s">
        <v>53</v>
      </c>
      <c r="H13" s="80" t="s">
        <v>54</v>
      </c>
      <c r="I13" s="80" t="s">
        <v>53</v>
      </c>
      <c r="J13" s="80" t="s">
        <v>54</v>
      </c>
      <c r="K13" s="80" t="s">
        <v>53</v>
      </c>
      <c r="L13" s="80" t="s">
        <v>54</v>
      </c>
      <c r="M13" s="80" t="s">
        <v>53</v>
      </c>
      <c r="N13" s="124" t="s">
        <v>54</v>
      </c>
      <c r="O13" s="153" t="s">
        <v>53</v>
      </c>
      <c r="P13" s="89" t="s">
        <v>53</v>
      </c>
      <c r="Q13" s="120" t="s">
        <v>53</v>
      </c>
      <c r="R13" s="118" t="s">
        <v>118</v>
      </c>
      <c r="S13" s="101" t="s">
        <v>120</v>
      </c>
      <c r="T13" s="102" t="s">
        <v>121</v>
      </c>
      <c r="U13" s="100"/>
      <c r="V13" t="s">
        <v>7</v>
      </c>
      <c r="W13" t="s">
        <v>8</v>
      </c>
      <c r="Y13" s="79"/>
      <c r="Z13" s="2"/>
      <c r="AA13" s="146" t="s">
        <v>136</v>
      </c>
      <c r="AB13" s="160" t="s">
        <v>137</v>
      </c>
      <c r="AC13" s="146" t="s">
        <v>136</v>
      </c>
      <c r="AD13" s="160" t="s">
        <v>137</v>
      </c>
      <c r="AE13" s="146" t="s">
        <v>136</v>
      </c>
      <c r="AF13" s="160" t="s">
        <v>137</v>
      </c>
      <c r="AG13" s="146" t="s">
        <v>136</v>
      </c>
      <c r="AH13" s="160" t="s">
        <v>137</v>
      </c>
      <c r="AI13" s="2"/>
      <c r="AJ13" s="2"/>
      <c r="AK13" s="2"/>
      <c r="AL13" s="2"/>
      <c r="AM13" s="2"/>
      <c r="AN13" s="2"/>
    </row>
    <row r="14" spans="1:40" ht="20.25" customHeight="1">
      <c r="A14" s="373" t="s">
        <v>102</v>
      </c>
      <c r="B14" s="194" t="s">
        <v>154</v>
      </c>
      <c r="C14" s="121" t="s">
        <v>88</v>
      </c>
      <c r="D14" s="95" t="s">
        <v>88</v>
      </c>
      <c r="E14" s="95" t="s">
        <v>88</v>
      </c>
      <c r="F14" s="95" t="s">
        <v>88</v>
      </c>
      <c r="G14" s="95" t="s">
        <v>88</v>
      </c>
      <c r="H14" s="95" t="s">
        <v>88</v>
      </c>
      <c r="I14" s="492">
        <v>0</v>
      </c>
      <c r="J14" s="364"/>
      <c r="K14" s="363">
        <v>0</v>
      </c>
      <c r="L14" s="364"/>
      <c r="M14" s="363">
        <v>0</v>
      </c>
      <c r="N14" s="367"/>
      <c r="O14" s="94" t="s">
        <v>88</v>
      </c>
      <c r="P14" s="363">
        <v>0</v>
      </c>
      <c r="Q14" s="367"/>
      <c r="R14" s="411">
        <f>SUM(C15:Q15)</f>
        <v>0</v>
      </c>
      <c r="S14" s="407">
        <f>R14*F9</f>
        <v>0</v>
      </c>
      <c r="T14" s="409">
        <f>R14*F8</f>
        <v>0</v>
      </c>
      <c r="U14" s="360"/>
      <c r="V14" s="358">
        <f>SUM(C15:H15)*F9</f>
        <v>0</v>
      </c>
      <c r="W14" s="358">
        <f>SUM(O15)*F9</f>
        <v>0</v>
      </c>
      <c r="X14" s="358">
        <f>W14+V14</f>
        <v>0</v>
      </c>
      <c r="Y14" s="358">
        <f>S14-X14</f>
        <v>0</v>
      </c>
      <c r="Z14" s="362" t="s">
        <v>102</v>
      </c>
      <c r="AA14" s="358">
        <f>SUMIF(C14:O14,"康軒",C15:O15)*F9</f>
        <v>0</v>
      </c>
      <c r="AB14" s="356">
        <f>SUMIF(C14:O14,"康軒",C15:O15)*F8</f>
        <v>0</v>
      </c>
      <c r="AC14" s="358">
        <f>SUMIF(C14:O14,"翰林",C15:O15)*F9</f>
        <v>0</v>
      </c>
      <c r="AD14" s="356">
        <f>SUMIF(C14:O14,"翰林",C15:O15)*F8</f>
        <v>0</v>
      </c>
      <c r="AE14" s="358">
        <f>SUMIF(C14:O14,"南一",C15:O15)*F9</f>
        <v>0</v>
      </c>
      <c r="AF14" s="356">
        <f>SUMIF(C14:O14,"南一",C15:O15)*F8</f>
        <v>0</v>
      </c>
      <c r="AG14" s="359"/>
      <c r="AH14" s="356"/>
      <c r="AI14" s="2"/>
      <c r="AJ14" s="2"/>
      <c r="AK14" s="2"/>
      <c r="AL14" s="2"/>
      <c r="AM14" s="2"/>
      <c r="AN14" s="2"/>
    </row>
    <row r="15" spans="1:40" ht="20.25" customHeight="1">
      <c r="A15" s="373"/>
      <c r="B15" s="194" t="s">
        <v>155</v>
      </c>
      <c r="C15" s="131" t="str">
        <f>VLOOKUP(C14,工作表2!$A$5:$BG$9,2,FALSE)</f>
        <v>金額</v>
      </c>
      <c r="D15" s="132" t="str">
        <f>VLOOKUP(D14,工作表2!$A$5:$BG$9,3,FALSE)</f>
        <v>金額</v>
      </c>
      <c r="E15" s="132" t="str">
        <f>VLOOKUP(E14,工作表2!$A$5:$BG$9,4,FALSE)</f>
        <v>金額</v>
      </c>
      <c r="F15" s="133" t="str">
        <f>VLOOKUP(F14,工作表2!$A$5:$BG$9,5,FALSE)</f>
        <v>金額</v>
      </c>
      <c r="G15" s="134" t="str">
        <f>VLOOKUP(G14,工作表2!$A$5:$BG$9,6,FALSE)</f>
        <v>金額</v>
      </c>
      <c r="H15" s="134" t="str">
        <f>VLOOKUP(H14,工作表2!$A$5:$BG$9,7,FALSE)</f>
        <v>金額</v>
      </c>
      <c r="I15" s="369">
        <v>0</v>
      </c>
      <c r="J15" s="366"/>
      <c r="K15" s="365">
        <v>0</v>
      </c>
      <c r="L15" s="366"/>
      <c r="M15" s="365">
        <v>0</v>
      </c>
      <c r="N15" s="406"/>
      <c r="O15" s="135" t="str">
        <f>VLOOKUP(O14,工作表2!$A$5:$BG$9,8,FALSE)</f>
        <v>金額</v>
      </c>
      <c r="P15" s="365">
        <v>0</v>
      </c>
      <c r="Q15" s="406"/>
      <c r="R15" s="412"/>
      <c r="S15" s="408"/>
      <c r="T15" s="410"/>
      <c r="U15" s="360"/>
      <c r="V15" s="358"/>
      <c r="W15" s="358"/>
      <c r="X15" s="358"/>
      <c r="Y15" s="358"/>
      <c r="Z15" s="362"/>
      <c r="AA15" s="359"/>
      <c r="AB15" s="356"/>
      <c r="AC15" s="358"/>
      <c r="AD15" s="356"/>
      <c r="AE15" s="358"/>
      <c r="AF15" s="356"/>
      <c r="AG15" s="359"/>
      <c r="AH15" s="356"/>
      <c r="AI15" s="2"/>
      <c r="AJ15" s="2"/>
      <c r="AK15" s="2"/>
      <c r="AL15" s="2"/>
      <c r="AM15" s="2"/>
      <c r="AN15" s="2"/>
    </row>
    <row r="16" spans="1:40" ht="20.25" customHeight="1">
      <c r="A16" s="373" t="s">
        <v>101</v>
      </c>
      <c r="B16" s="194" t="s">
        <v>154</v>
      </c>
      <c r="C16" s="121" t="s">
        <v>88</v>
      </c>
      <c r="D16" s="95" t="s">
        <v>88</v>
      </c>
      <c r="E16" s="95" t="s">
        <v>88</v>
      </c>
      <c r="F16" s="95" t="s">
        <v>88</v>
      </c>
      <c r="G16" s="95" t="s">
        <v>88</v>
      </c>
      <c r="H16" s="95" t="s">
        <v>88</v>
      </c>
      <c r="I16" s="492">
        <v>0</v>
      </c>
      <c r="J16" s="364"/>
      <c r="K16" s="363">
        <v>0</v>
      </c>
      <c r="L16" s="364"/>
      <c r="M16" s="363">
        <v>0</v>
      </c>
      <c r="N16" s="367"/>
      <c r="O16" s="94" t="s">
        <v>88</v>
      </c>
      <c r="P16" s="363">
        <v>0</v>
      </c>
      <c r="Q16" s="367"/>
      <c r="R16" s="411">
        <f>SUM(C17:Q17)</f>
        <v>0</v>
      </c>
      <c r="S16" s="407">
        <f>R16*G9</f>
        <v>0</v>
      </c>
      <c r="T16" s="409">
        <f>R16*G8</f>
        <v>0</v>
      </c>
      <c r="U16" s="360"/>
      <c r="V16" s="358">
        <f>SUM(C17:H17)*G9</f>
        <v>0</v>
      </c>
      <c r="W16" s="358">
        <f>SUM(O17)*G9</f>
        <v>0</v>
      </c>
      <c r="X16" s="358">
        <f>W16+V16</f>
        <v>0</v>
      </c>
      <c r="Y16" s="358">
        <f>S16-X16</f>
        <v>0</v>
      </c>
      <c r="Z16" s="362" t="s">
        <v>101</v>
      </c>
      <c r="AA16" s="358">
        <f>SUMIF(C16:O16,"康軒",C17:O17)*G9</f>
        <v>0</v>
      </c>
      <c r="AB16" s="356">
        <f>SUMIF(C16:O16,"康軒",C17:O17)*G8</f>
        <v>0</v>
      </c>
      <c r="AC16" s="358">
        <f>SUMIF(C16:O16,"翰林",C17:O17)*G9</f>
        <v>0</v>
      </c>
      <c r="AD16" s="356">
        <f>SUMIF(C16:O16,"翰林",C17:O17)*G8</f>
        <v>0</v>
      </c>
      <c r="AE16" s="358">
        <f>SUMIF(C16:O16,"南一",C17:O17)*G9</f>
        <v>0</v>
      </c>
      <c r="AF16" s="356">
        <f>SUMIF(C16:O16,"南一",C17:O17)*G8</f>
        <v>0</v>
      </c>
      <c r="AG16" s="358"/>
      <c r="AH16" s="356"/>
      <c r="AI16" s="2"/>
      <c r="AJ16" s="2"/>
      <c r="AK16" s="2"/>
      <c r="AL16" s="2"/>
      <c r="AM16" s="2"/>
      <c r="AN16" s="2"/>
    </row>
    <row r="17" spans="1:40" ht="20.25" customHeight="1">
      <c r="A17" s="373"/>
      <c r="B17" s="194" t="s">
        <v>155</v>
      </c>
      <c r="C17" s="131" t="str">
        <f>VLOOKUP(C16,工作表2!$A$5:$BG$9,9,FALSE)</f>
        <v>金額</v>
      </c>
      <c r="D17" s="132" t="str">
        <f>VLOOKUP(D16,工作表2!$A$5:$BG$9,10,FALSE)</f>
        <v>金額</v>
      </c>
      <c r="E17" s="132" t="str">
        <f>VLOOKUP(E16,工作表2!$A$5:$BG$9,11,FALSE)</f>
        <v>金額</v>
      </c>
      <c r="F17" s="133" t="str">
        <f>VLOOKUP(F16,工作表2!$A$5:$BG$9,12,FALSE)</f>
        <v>金額</v>
      </c>
      <c r="G17" s="134" t="str">
        <f>VLOOKUP(G16,工作表2!$A$5:$BG$9,13,FALSE)</f>
        <v>金額</v>
      </c>
      <c r="H17" s="134" t="str">
        <f>VLOOKUP(H16,工作表2!$A$5:$BG$9,14,FALSE)</f>
        <v>金額</v>
      </c>
      <c r="I17" s="369">
        <v>0</v>
      </c>
      <c r="J17" s="366"/>
      <c r="K17" s="365">
        <v>0</v>
      </c>
      <c r="L17" s="366"/>
      <c r="M17" s="365">
        <v>0</v>
      </c>
      <c r="N17" s="406"/>
      <c r="O17" s="135" t="str">
        <f>VLOOKUP(O16,工作表2!$A$5:$BG$9,15,FALSE)</f>
        <v>金額</v>
      </c>
      <c r="P17" s="365">
        <v>0</v>
      </c>
      <c r="Q17" s="406"/>
      <c r="R17" s="412"/>
      <c r="S17" s="408"/>
      <c r="T17" s="410"/>
      <c r="U17" s="360"/>
      <c r="V17" s="358"/>
      <c r="W17" s="358"/>
      <c r="X17" s="358"/>
      <c r="Y17" s="358"/>
      <c r="Z17" s="362"/>
      <c r="AA17" s="358"/>
      <c r="AB17" s="356"/>
      <c r="AC17" s="358"/>
      <c r="AD17" s="357"/>
      <c r="AE17" s="358"/>
      <c r="AF17" s="357"/>
      <c r="AG17" s="358"/>
      <c r="AH17" s="357"/>
      <c r="AI17" s="2"/>
      <c r="AJ17" s="2"/>
      <c r="AK17" s="2"/>
      <c r="AL17" s="2"/>
      <c r="AM17" s="2"/>
      <c r="AN17" s="2"/>
    </row>
    <row r="18" spans="1:40" ht="20.25" customHeight="1">
      <c r="A18" s="373" t="s">
        <v>100</v>
      </c>
      <c r="B18" s="194" t="s">
        <v>154</v>
      </c>
      <c r="C18" s="368">
        <v>0</v>
      </c>
      <c r="D18" s="369"/>
      <c r="E18" s="95" t="s">
        <v>88</v>
      </c>
      <c r="F18" s="95" t="s">
        <v>88</v>
      </c>
      <c r="G18" s="95" t="s">
        <v>88</v>
      </c>
      <c r="H18" s="95" t="s">
        <v>88</v>
      </c>
      <c r="I18" s="95" t="s">
        <v>88</v>
      </c>
      <c r="J18" s="95" t="s">
        <v>88</v>
      </c>
      <c r="K18" s="95" t="s">
        <v>88</v>
      </c>
      <c r="L18" s="95" t="s">
        <v>88</v>
      </c>
      <c r="M18" s="130" t="s">
        <v>88</v>
      </c>
      <c r="N18" s="156" t="s">
        <v>88</v>
      </c>
      <c r="O18" s="129" t="s">
        <v>88</v>
      </c>
      <c r="P18" s="95" t="s">
        <v>88</v>
      </c>
      <c r="Q18" s="94" t="s">
        <v>88</v>
      </c>
      <c r="R18" s="411">
        <f>SUM(C19:Q19)</f>
        <v>0</v>
      </c>
      <c r="S18" s="407">
        <f>R18*H9</f>
        <v>0</v>
      </c>
      <c r="T18" s="409">
        <f>R18*H8</f>
        <v>0</v>
      </c>
      <c r="U18" s="360"/>
      <c r="V18" s="358">
        <f>SUM(E19:N19)*H9</f>
        <v>0</v>
      </c>
      <c r="W18" s="358">
        <f>SUM(O19:Q19)*H9</f>
        <v>0</v>
      </c>
      <c r="X18" s="358">
        <f>W18+V18</f>
        <v>0</v>
      </c>
      <c r="Y18" s="358">
        <f>S18-X18</f>
        <v>0</v>
      </c>
      <c r="Z18" s="362" t="s">
        <v>100</v>
      </c>
      <c r="AA18" s="358">
        <f>SUMIF(E18:Q18,"康軒",E19:Q19)*H9</f>
        <v>0</v>
      </c>
      <c r="AB18" s="356">
        <f>SUMIF(E18:Q18,"康軒",E19:Q19)*H8</f>
        <v>0</v>
      </c>
      <c r="AC18" s="358">
        <f>SUMIF(E18:Q18,"翰林",E19:Q19)*H9</f>
        <v>0</v>
      </c>
      <c r="AD18" s="356">
        <f>SUMIF(E18:Q18,"翰林",E19:Q19)*H8</f>
        <v>0</v>
      </c>
      <c r="AE18" s="358">
        <f>SUMIF(E18:Q18,"南一",E19:Q19)*H9</f>
        <v>0</v>
      </c>
      <c r="AF18" s="356">
        <f>SUMIF(E18:Q18,"南一",E19:Q19)*H8</f>
        <v>0</v>
      </c>
      <c r="AG18" s="358">
        <f>SUMIF(F18:R18,"何嘉仁",F19:R19)*H9</f>
        <v>0</v>
      </c>
      <c r="AH18" s="356">
        <f>SUMIF(F18:R18,"何嘉仁",F19:R19)*H8</f>
        <v>0</v>
      </c>
      <c r="AI18" s="2"/>
      <c r="AJ18" s="2"/>
      <c r="AK18" s="2"/>
      <c r="AL18" s="2"/>
      <c r="AM18" s="2"/>
      <c r="AN18" s="2"/>
    </row>
    <row r="19" spans="1:40" ht="20.25" customHeight="1">
      <c r="A19" s="373"/>
      <c r="B19" s="194" t="s">
        <v>155</v>
      </c>
      <c r="C19" s="368">
        <v>0</v>
      </c>
      <c r="D19" s="366"/>
      <c r="E19" s="132" t="str">
        <f>VLOOKUP(E18,工作表2!$A$5:$BG$9,16,FALSE)</f>
        <v>金額</v>
      </c>
      <c r="F19" s="133" t="str">
        <f>VLOOKUP(F18,工作表2!$A$5:$BG$9,17,FALSE)</f>
        <v>金額</v>
      </c>
      <c r="G19" s="134" t="str">
        <f>VLOOKUP(G18,工作表2!$A$5:$BG$9,18,FALSE)</f>
        <v>金額</v>
      </c>
      <c r="H19" s="134" t="str">
        <f>VLOOKUP(H18,工作表2!$A$5:$BG$9,19,FALSE)</f>
        <v>金額</v>
      </c>
      <c r="I19" s="135" t="str">
        <f>VLOOKUP(I18,工作表2!$A$5:$BG$9,20,FALSE)</f>
        <v>金額</v>
      </c>
      <c r="J19" s="134" t="str">
        <f>VLOOKUP(J18,工作表2!$A$5:$BG$9,21,FALSE)</f>
        <v>金額</v>
      </c>
      <c r="K19" s="135" t="str">
        <f>VLOOKUP(K18,工作表2!$A$5:$BG$9,22,FALSE)</f>
        <v>金額</v>
      </c>
      <c r="L19" s="132" t="str">
        <f>VLOOKUP(L18,工作表2!$A$5:$BG$9,23,FALSE)</f>
        <v>金額</v>
      </c>
      <c r="M19" s="134" t="str">
        <f>VLOOKUP(M18,工作表2!$A$15:$G$19,2,FALSE)</f>
        <v>金額</v>
      </c>
      <c r="N19" s="136" t="str">
        <f>VLOOKUP(N18,工作表2!$A$15:$G$19,3,FALSE)</f>
        <v>金額</v>
      </c>
      <c r="O19" s="154" t="str">
        <f>VLOOKUP(O18,工作表2!$A$5:$BG$9,24,FALSE)</f>
        <v>金額</v>
      </c>
      <c r="P19" s="134" t="str">
        <f>VLOOKUP(P18,工作表2!$A$5:$BG$9,25,FALSE)</f>
        <v>金額</v>
      </c>
      <c r="Q19" s="137" t="str">
        <f>VLOOKUP(Q18,工作表2!$A$5:$BG$9,26,FALSE)</f>
        <v>金額</v>
      </c>
      <c r="R19" s="412"/>
      <c r="S19" s="408"/>
      <c r="T19" s="410"/>
      <c r="U19" s="360"/>
      <c r="V19" s="358"/>
      <c r="W19" s="358"/>
      <c r="X19" s="358"/>
      <c r="Y19" s="358"/>
      <c r="Z19" s="362"/>
      <c r="AA19" s="358"/>
      <c r="AB19" s="356"/>
      <c r="AC19" s="358"/>
      <c r="AD19" s="357"/>
      <c r="AE19" s="358"/>
      <c r="AF19" s="357"/>
      <c r="AG19" s="358"/>
      <c r="AH19" s="357"/>
      <c r="AI19" s="2"/>
      <c r="AJ19" s="2"/>
      <c r="AK19" s="2"/>
      <c r="AL19" s="2"/>
      <c r="AM19" s="2"/>
      <c r="AN19" s="2"/>
    </row>
    <row r="20" spans="1:40" ht="20.25" customHeight="1">
      <c r="A20" s="373" t="s">
        <v>99</v>
      </c>
      <c r="B20" s="194" t="s">
        <v>154</v>
      </c>
      <c r="C20" s="368">
        <v>0</v>
      </c>
      <c r="D20" s="369"/>
      <c r="E20" s="95" t="s">
        <v>88</v>
      </c>
      <c r="F20" s="95" t="s">
        <v>88</v>
      </c>
      <c r="G20" s="95" t="s">
        <v>88</v>
      </c>
      <c r="H20" s="95" t="s">
        <v>88</v>
      </c>
      <c r="I20" s="95" t="s">
        <v>88</v>
      </c>
      <c r="J20" s="95" t="s">
        <v>88</v>
      </c>
      <c r="K20" s="95" t="s">
        <v>88</v>
      </c>
      <c r="L20" s="95" t="s">
        <v>88</v>
      </c>
      <c r="M20" s="130" t="s">
        <v>88</v>
      </c>
      <c r="N20" s="156" t="s">
        <v>88</v>
      </c>
      <c r="O20" s="129" t="s">
        <v>88</v>
      </c>
      <c r="P20" s="95" t="s">
        <v>88</v>
      </c>
      <c r="Q20" s="94" t="s">
        <v>88</v>
      </c>
      <c r="R20" s="411">
        <f>SUM(C21:Q21)</f>
        <v>0</v>
      </c>
      <c r="S20" s="407">
        <f>R20*I9</f>
        <v>0</v>
      </c>
      <c r="T20" s="409">
        <f>R20*I8</f>
        <v>0</v>
      </c>
      <c r="U20" s="360"/>
      <c r="V20" s="358">
        <f>SUM(E21:N21)*I9</f>
        <v>0</v>
      </c>
      <c r="W20" s="358">
        <f>SUM(O21:Q21)*I9</f>
        <v>0</v>
      </c>
      <c r="X20" s="358">
        <f>W20+V20</f>
        <v>0</v>
      </c>
      <c r="Y20" s="358">
        <f>S20-X20</f>
        <v>0</v>
      </c>
      <c r="Z20" s="362" t="s">
        <v>99</v>
      </c>
      <c r="AA20" s="358">
        <f>SUMIF(E20:Q20,"康軒",E21:Q21)*I9</f>
        <v>0</v>
      </c>
      <c r="AB20" s="356">
        <f>SUMIF(E20:Q20,"康軒",E21:Q21)*I8</f>
        <v>0</v>
      </c>
      <c r="AC20" s="358">
        <f>SUMIF(E20:Q20,"翰林",E21:Q21)*I9</f>
        <v>0</v>
      </c>
      <c r="AD20" s="356">
        <f>SUMIF(E20:Q20,"翰林",E21:Q21)*I8</f>
        <v>0</v>
      </c>
      <c r="AE20" s="358">
        <f>SUMIF(E20:Q20,"南一",E21:Q21)*I9</f>
        <v>0</v>
      </c>
      <c r="AF20" s="356">
        <f>SUMIF(E20:Q20,"南一",E21:Q21)*I8</f>
        <v>0</v>
      </c>
      <c r="AG20" s="358">
        <f>SUMIF(E20:Q20,"何嘉仁",E21:Q21)*I9</f>
        <v>0</v>
      </c>
      <c r="AH20" s="356">
        <f>SUMIF(E20:Q20,"何嘉仁",E21:Q21)*I8</f>
        <v>0</v>
      </c>
      <c r="AI20" s="2"/>
      <c r="AJ20" s="2"/>
      <c r="AK20" s="2"/>
      <c r="AL20" s="2"/>
      <c r="AM20" s="2"/>
      <c r="AN20" s="2"/>
    </row>
    <row r="21" spans="1:40" ht="20.25" customHeight="1">
      <c r="A21" s="373"/>
      <c r="B21" s="194" t="s">
        <v>155</v>
      </c>
      <c r="C21" s="368">
        <v>0</v>
      </c>
      <c r="D21" s="366"/>
      <c r="E21" s="132" t="str">
        <f>VLOOKUP(E20,工作表2!$A$5:$BG$9,27,FALSE)</f>
        <v>金額</v>
      </c>
      <c r="F21" s="133" t="str">
        <f>VLOOKUP(F20,工作表2!$A$5:$BG$9,28,FALSE)</f>
        <v>金額</v>
      </c>
      <c r="G21" s="134" t="str">
        <f>VLOOKUP(G20,工作表2!$A$5:$BG$9,29,FALSE)</f>
        <v>金額</v>
      </c>
      <c r="H21" s="134" t="str">
        <f>VLOOKUP(H20,工作表2!$A$5:$BG$9,30,FALSE)</f>
        <v>金額</v>
      </c>
      <c r="I21" s="135" t="str">
        <f>VLOOKUP(I20,工作表2!$A$5:$BG$9,31,FALSE)</f>
        <v>金額</v>
      </c>
      <c r="J21" s="134" t="str">
        <f>VLOOKUP(J20,工作表2!$A$5:$BG$9,32,FALSE)</f>
        <v>金額</v>
      </c>
      <c r="K21" s="135" t="str">
        <f>VLOOKUP(K20,工作表2!$A$5:$BG$9,33,FALSE)</f>
        <v>金額</v>
      </c>
      <c r="L21" s="132" t="str">
        <f>VLOOKUP(L20,工作表2!$A$5:$BG$9,34,FALSE)</f>
        <v>金額</v>
      </c>
      <c r="M21" s="134" t="str">
        <f>VLOOKUP(M20,工作表2!$A$15:$G$19,4,FALSE)</f>
        <v>金額</v>
      </c>
      <c r="N21" s="136" t="str">
        <f>VLOOKUP(N20,工作表2!$A$15:$G$19,5,FALSE)</f>
        <v>金額</v>
      </c>
      <c r="O21" s="154" t="str">
        <f>VLOOKUP(O20,工作表2!$A$5:$BG$9,35,FALSE)</f>
        <v>金額</v>
      </c>
      <c r="P21" s="134" t="str">
        <f>VLOOKUP(P20,工作表2!$A$5:$BG$9,36,FALSE)</f>
        <v>金額</v>
      </c>
      <c r="Q21" s="137" t="str">
        <f>VLOOKUP(Q20,工作表2!$A$5:$BG$9,37,FALSE)</f>
        <v>金額</v>
      </c>
      <c r="R21" s="412"/>
      <c r="S21" s="408"/>
      <c r="T21" s="410"/>
      <c r="U21" s="360"/>
      <c r="V21" s="358"/>
      <c r="W21" s="358"/>
      <c r="X21" s="358"/>
      <c r="Y21" s="358"/>
      <c r="Z21" s="362"/>
      <c r="AA21" s="358"/>
      <c r="AB21" s="356"/>
      <c r="AC21" s="358"/>
      <c r="AD21" s="357"/>
      <c r="AE21" s="358"/>
      <c r="AF21" s="357"/>
      <c r="AG21" s="358"/>
      <c r="AH21" s="357"/>
      <c r="AI21" s="2"/>
      <c r="AJ21" s="2"/>
      <c r="AK21" s="2"/>
      <c r="AL21" s="2"/>
      <c r="AM21" s="2"/>
      <c r="AN21" s="2"/>
    </row>
    <row r="22" spans="1:40" ht="20.25" customHeight="1">
      <c r="A22" s="373" t="s">
        <v>98</v>
      </c>
      <c r="B22" s="194" t="s">
        <v>154</v>
      </c>
      <c r="C22" s="368">
        <v>0</v>
      </c>
      <c r="D22" s="369"/>
      <c r="E22" s="95" t="s">
        <v>88</v>
      </c>
      <c r="F22" s="95" t="s">
        <v>88</v>
      </c>
      <c r="G22" s="95" t="s">
        <v>88</v>
      </c>
      <c r="H22" s="95" t="s">
        <v>88</v>
      </c>
      <c r="I22" s="95" t="s">
        <v>88</v>
      </c>
      <c r="J22" s="95" t="s">
        <v>88</v>
      </c>
      <c r="K22" s="95" t="s">
        <v>88</v>
      </c>
      <c r="L22" s="95" t="s">
        <v>88</v>
      </c>
      <c r="M22" s="130" t="s">
        <v>88</v>
      </c>
      <c r="N22" s="156" t="s">
        <v>88</v>
      </c>
      <c r="O22" s="129" t="s">
        <v>88</v>
      </c>
      <c r="P22" s="95" t="s">
        <v>88</v>
      </c>
      <c r="Q22" s="94" t="s">
        <v>88</v>
      </c>
      <c r="R22" s="411">
        <f>SUM(C23:Q23)</f>
        <v>0</v>
      </c>
      <c r="S22" s="407">
        <f>R22*J9</f>
        <v>0</v>
      </c>
      <c r="T22" s="409">
        <f>R22*J8</f>
        <v>0</v>
      </c>
      <c r="U22" s="360"/>
      <c r="V22" s="358">
        <f>SUM(E23:N23)*J9</f>
        <v>0</v>
      </c>
      <c r="W22" s="358">
        <f>SUM(O23:Q23)*J9</f>
        <v>0</v>
      </c>
      <c r="X22" s="358">
        <f>W22+V22</f>
        <v>0</v>
      </c>
      <c r="Y22" s="358">
        <f>S22-X22</f>
        <v>0</v>
      </c>
      <c r="Z22" s="362" t="s">
        <v>98</v>
      </c>
      <c r="AA22" s="358">
        <f>SUMIF(E22:Q22,"康軒",E23:Q23)*J9</f>
        <v>0</v>
      </c>
      <c r="AB22" s="356">
        <f>SUMIF(E22:Q22,"康軒",E23:Q23)*J8</f>
        <v>0</v>
      </c>
      <c r="AC22" s="358">
        <f>SUMIF(E22:Q22,"翰林",E23:Q23)*J9</f>
        <v>0</v>
      </c>
      <c r="AD22" s="356">
        <f>SUMIF(E22:Q22,"翰林",E23:Q23)*J8</f>
        <v>0</v>
      </c>
      <c r="AE22" s="358">
        <f>SUMIF(E22:Q22,"南一",E23:Q23)*J9</f>
        <v>0</v>
      </c>
      <c r="AF22" s="356">
        <f>SUMIF(E22:Q22,"南一",E23:Q23)*J8</f>
        <v>0</v>
      </c>
      <c r="AG22" s="358">
        <f>SUMIF(E22:Q22,"何嘉仁",E23:Q23)*J9</f>
        <v>0</v>
      </c>
      <c r="AH22" s="356">
        <f>SUMIF(E22:Q22,"何嘉仁",E23:Q23)*J8</f>
        <v>0</v>
      </c>
      <c r="AI22" s="2"/>
      <c r="AJ22" s="2"/>
      <c r="AK22" s="2"/>
      <c r="AL22" s="2"/>
      <c r="AM22" s="2"/>
      <c r="AN22" s="2"/>
    </row>
    <row r="23" spans="1:40" ht="20.25" customHeight="1">
      <c r="A23" s="373"/>
      <c r="B23" s="194" t="s">
        <v>155</v>
      </c>
      <c r="C23" s="368">
        <v>0</v>
      </c>
      <c r="D23" s="366"/>
      <c r="E23" s="132" t="str">
        <f>VLOOKUP(E22,工作表2!$A$5:$BG$9,38,FALSE)</f>
        <v>金額</v>
      </c>
      <c r="F23" s="133" t="str">
        <f>VLOOKUP(F22,工作表2!$A$5:$BG$9,39,FALSE)</f>
        <v>金額</v>
      </c>
      <c r="G23" s="134" t="str">
        <f>VLOOKUP(G22,工作表2!$A$5:$BG$9,40,FALSE)</f>
        <v>金額</v>
      </c>
      <c r="H23" s="134" t="str">
        <f>VLOOKUP(H22,工作表2!$A$5:$BG$9,41,FALSE)</f>
        <v>金額</v>
      </c>
      <c r="I23" s="135" t="str">
        <f>VLOOKUP(I22,工作表2!$A$5:$BG$9,42,FALSE)</f>
        <v>金額</v>
      </c>
      <c r="J23" s="134" t="str">
        <f>VLOOKUP(J22,工作表2!$A$5:$BG$9,43,FALSE)</f>
        <v>金額</v>
      </c>
      <c r="K23" s="135" t="str">
        <f>VLOOKUP(K22,工作表2!$A$5:$BG$9,44,FALSE)</f>
        <v>金額</v>
      </c>
      <c r="L23" s="132" t="str">
        <f>VLOOKUP(L22,工作表2!$A$5:$BG$9,45,FALSE)</f>
        <v>金額</v>
      </c>
      <c r="M23" s="134" t="str">
        <f>VLOOKUP(M22,工作表2!$A$15:$G$19,6,FALSE)</f>
        <v>金額</v>
      </c>
      <c r="N23" s="136" t="str">
        <f>VLOOKUP(N22,工作表2!$A$15:$G$19,7,FALSE)</f>
        <v>金額</v>
      </c>
      <c r="O23" s="154" t="str">
        <f>VLOOKUP(O22,工作表2!$A$5:$BG$9,46,FALSE)</f>
        <v>金額</v>
      </c>
      <c r="P23" s="134" t="str">
        <f>VLOOKUP(P22,工作表2!$A$5:$BG$9,47,FALSE)</f>
        <v>金額</v>
      </c>
      <c r="Q23" s="134" t="str">
        <f>VLOOKUP(Q22,工作表2!$A$5:$BG$9,48,FALSE)</f>
        <v>金額</v>
      </c>
      <c r="R23" s="412"/>
      <c r="S23" s="408"/>
      <c r="T23" s="410"/>
      <c r="U23" s="360"/>
      <c r="V23" s="358"/>
      <c r="W23" s="358"/>
      <c r="X23" s="358"/>
      <c r="Y23" s="358"/>
      <c r="Z23" s="362"/>
      <c r="AA23" s="358"/>
      <c r="AB23" s="356"/>
      <c r="AC23" s="358"/>
      <c r="AD23" s="357"/>
      <c r="AE23" s="358"/>
      <c r="AF23" s="357"/>
      <c r="AG23" s="358"/>
      <c r="AH23" s="357"/>
      <c r="AI23" s="2"/>
      <c r="AJ23" s="146" t="s">
        <v>136</v>
      </c>
      <c r="AK23" s="160" t="s">
        <v>137</v>
      </c>
      <c r="AL23" s="2"/>
      <c r="AM23" s="146" t="s">
        <v>136</v>
      </c>
      <c r="AN23" s="160" t="s">
        <v>137</v>
      </c>
    </row>
    <row r="24" spans="1:40" ht="20.25" customHeight="1">
      <c r="A24" s="373" t="s">
        <v>97</v>
      </c>
      <c r="B24" s="194" t="s">
        <v>154</v>
      </c>
      <c r="C24" s="368">
        <v>0</v>
      </c>
      <c r="D24" s="369"/>
      <c r="E24" s="95" t="s">
        <v>88</v>
      </c>
      <c r="F24" s="95" t="s">
        <v>88</v>
      </c>
      <c r="G24" s="95" t="s">
        <v>88</v>
      </c>
      <c r="H24" s="95" t="s">
        <v>88</v>
      </c>
      <c r="I24" s="95" t="s">
        <v>88</v>
      </c>
      <c r="J24" s="95" t="s">
        <v>88</v>
      </c>
      <c r="K24" s="95" t="s">
        <v>88</v>
      </c>
      <c r="L24" s="95" t="s">
        <v>88</v>
      </c>
      <c r="M24" s="205" t="s">
        <v>88</v>
      </c>
      <c r="N24" s="206" t="s">
        <v>88</v>
      </c>
      <c r="O24" s="129" t="s">
        <v>88</v>
      </c>
      <c r="P24" s="95" t="s">
        <v>88</v>
      </c>
      <c r="Q24" s="94" t="s">
        <v>88</v>
      </c>
      <c r="R24" s="411" t="e">
        <f>SUM(C25:Q25)</f>
        <v>#N/A</v>
      </c>
      <c r="S24" s="407" t="e">
        <f>R24*K9</f>
        <v>#N/A</v>
      </c>
      <c r="T24" s="409" t="e">
        <f>R24*K8</f>
        <v>#N/A</v>
      </c>
      <c r="U24" s="360"/>
      <c r="V24" s="358" t="e">
        <f>SUM(E25:N25)*K9</f>
        <v>#N/A</v>
      </c>
      <c r="W24" s="358">
        <f>SUM(O25:Q25)*K9</f>
        <v>0</v>
      </c>
      <c r="X24" s="358" t="e">
        <f>W24+V24</f>
        <v>#N/A</v>
      </c>
      <c r="Y24" s="358" t="e">
        <f>S24-X24</f>
        <v>#N/A</v>
      </c>
      <c r="Z24" s="362" t="s">
        <v>97</v>
      </c>
      <c r="AA24" s="358">
        <f>SUMIF(E24:Q24,"康軒",E25:Q25)*K9+AJ24+AJ25</f>
        <v>0</v>
      </c>
      <c r="AB24" s="356">
        <f>SUMIF(E24:Q24,"康軒",E25:Q25)*K8+AK24+AK25</f>
        <v>0</v>
      </c>
      <c r="AC24" s="358">
        <f>SUMIF(E24:Q24,"翰林",E25:Q25)*K9</f>
        <v>0</v>
      </c>
      <c r="AD24" s="356">
        <f>SUMIF(E24:Q24,"翰林",E25:Q25)*K8</f>
        <v>0</v>
      </c>
      <c r="AE24" s="358">
        <f>SUMIF(E24:Q24,"南一",E25:Q25)*K9</f>
        <v>0</v>
      </c>
      <c r="AF24" s="356">
        <f>SUMIF(E24:Q24,"南一",E25:Q25)*K8</f>
        <v>0</v>
      </c>
      <c r="AG24" s="358">
        <f>AM24+AM25</f>
        <v>0</v>
      </c>
      <c r="AH24" s="356">
        <f>AN24+AN25</f>
        <v>0</v>
      </c>
      <c r="AI24" s="157" t="s">
        <v>132</v>
      </c>
      <c r="AJ24" s="146">
        <f>SUMIF(E24:Q24,"康軒 Hello,Kids!",E25:Q25)*K9</f>
        <v>0</v>
      </c>
      <c r="AK24" s="160">
        <f>SUMIF(E24:Q24,"康軒 Hello,Kids!",E25:Q25)*K8</f>
        <v>0</v>
      </c>
      <c r="AL24" s="158" t="s">
        <v>135</v>
      </c>
      <c r="AM24" s="146">
        <f>SUMIF(E24:Q24,"何嘉仁 Story.com",E25:Q25)*K9</f>
        <v>0</v>
      </c>
      <c r="AN24" s="160">
        <f>SUMIF(E24:Q24,"何嘉仁 Story.com",E25:Q25)*K8</f>
        <v>0</v>
      </c>
    </row>
    <row r="25" spans="1:40" ht="20.25" customHeight="1" thickBot="1">
      <c r="A25" s="373"/>
      <c r="B25" s="194" t="s">
        <v>155</v>
      </c>
      <c r="C25" s="376">
        <v>0</v>
      </c>
      <c r="D25" s="377"/>
      <c r="E25" s="138" t="str">
        <f>VLOOKUP(E24,工作表2!$A$5:$BG$9,49,FALSE)</f>
        <v>金額</v>
      </c>
      <c r="F25" s="138" t="str">
        <f>VLOOKUP(F24,工作表2!$A$5:$BG$9,50,FALSE)</f>
        <v>金額</v>
      </c>
      <c r="G25" s="138" t="str">
        <f>VLOOKUP(G24,工作表2!$A$5:$BG$9,51,FALSE)</f>
        <v>金額</v>
      </c>
      <c r="H25" s="138" t="str">
        <f>VLOOKUP(H24,工作表2!$A$5:$BG$9,52,FALSE)</f>
        <v>金額</v>
      </c>
      <c r="I25" s="138" t="str">
        <f>VLOOKUP(I24,工作表2!$A$5:$BG$9,53,FALSE)</f>
        <v>金額</v>
      </c>
      <c r="J25" s="138" t="str">
        <f>VLOOKUP(J24,工作表2!$A$5:$BG$9,54,FALSE)</f>
        <v>金額</v>
      </c>
      <c r="K25" s="138" t="str">
        <f>VLOOKUP(K24,工作表2!$A$5:$BG$9,55,FALSE)</f>
        <v>金額</v>
      </c>
      <c r="L25" s="138" t="str">
        <f>VLOOKUP(L24,工作表2!$A$5:$BG$9,56,FALSE)</f>
        <v>金額</v>
      </c>
      <c r="M25" s="139" t="e">
        <f>VLOOKUP(M24,工作表2!$N$12:$P$20,2,FALSE)</f>
        <v>#N/A</v>
      </c>
      <c r="N25" s="140" t="e">
        <f>VLOOKUP(N24,工作表2!$N$12:$P$20,3,FALSE)</f>
        <v>#N/A</v>
      </c>
      <c r="O25" s="155" t="str">
        <f>VLOOKUP(O24,工作表2!$A$5:$BG$9,57,FALSE)</f>
        <v>金額</v>
      </c>
      <c r="P25" s="138" t="str">
        <f>VLOOKUP(P24,工作表2!$A$5:$BG$9,58,FALSE)</f>
        <v>金額</v>
      </c>
      <c r="Q25" s="141" t="str">
        <f>VLOOKUP(Q24,工作表2!$A$5:$BG$9,59,FALSE)</f>
        <v>金額</v>
      </c>
      <c r="R25" s="412"/>
      <c r="S25" s="408"/>
      <c r="T25" s="410"/>
      <c r="U25" s="360"/>
      <c r="V25" s="358"/>
      <c r="W25" s="358"/>
      <c r="X25" s="358"/>
      <c r="Y25" s="358"/>
      <c r="Z25" s="362"/>
      <c r="AA25" s="358"/>
      <c r="AB25" s="356"/>
      <c r="AC25" s="358"/>
      <c r="AD25" s="357"/>
      <c r="AE25" s="358"/>
      <c r="AF25" s="357"/>
      <c r="AG25" s="358"/>
      <c r="AH25" s="357"/>
      <c r="AI25" s="157" t="s">
        <v>133</v>
      </c>
      <c r="AJ25" s="146">
        <f>SUMIF(E24:Q24,"康軒 Follow Me.",E25:Q25)*K9</f>
        <v>0</v>
      </c>
      <c r="AK25" s="160">
        <f>SUMIF(E24:Q24,"康軒 Follow Me.",E25:Q25)*K8</f>
        <v>0</v>
      </c>
      <c r="AL25" s="158" t="s">
        <v>134</v>
      </c>
      <c r="AM25" s="146">
        <f>SUMIF(E24:Q24,"何嘉仁 eSTAR",E25:Q25)*K9</f>
        <v>0</v>
      </c>
      <c r="AN25" s="160">
        <f>SUMIF(E24:Q24,"何嘉仁 eSTAR",E25:Q25)*K8</f>
        <v>0</v>
      </c>
    </row>
    <row r="26" spans="1:40" ht="30" customHeight="1" thickBot="1">
      <c r="A26" s="93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81" t="s">
        <v>9</v>
      </c>
      <c r="S26" s="328" t="e">
        <f>SUM(S14:S25)</f>
        <v>#N/A</v>
      </c>
      <c r="T26" s="107" t="e">
        <f>SUM(T14:T25)</f>
        <v>#N/A</v>
      </c>
      <c r="U26" s="86"/>
      <c r="V26" s="78" t="e">
        <f>SUM(V14:V25)</f>
        <v>#N/A</v>
      </c>
      <c r="W26" s="78">
        <f>SUM(W14:W25)</f>
        <v>0</v>
      </c>
      <c r="X26" s="78" t="e">
        <f>SUM(X14:X25)</f>
        <v>#N/A</v>
      </c>
      <c r="Y26" s="78" t="e">
        <f>SUM(Y14:Y25)</f>
        <v>#N/A</v>
      </c>
      <c r="Z26" s="144" t="s">
        <v>9</v>
      </c>
      <c r="AA26" s="147">
        <f>SUM(AA14:AA25)</f>
        <v>0</v>
      </c>
      <c r="AB26" s="161">
        <f>SUM(AB14:AB25)</f>
        <v>0</v>
      </c>
      <c r="AC26" s="147">
        <f>SUM(AC14:AC25)</f>
        <v>0</v>
      </c>
      <c r="AD26" s="161">
        <f>SUM(AD14:AD25)</f>
        <v>0</v>
      </c>
      <c r="AE26" s="147">
        <f t="shared" ref="AE26" si="1">SUM(AE14:AE25)</f>
        <v>0</v>
      </c>
      <c r="AF26" s="161">
        <f>SUM(AF14:AF25)</f>
        <v>0</v>
      </c>
      <c r="AG26" s="147">
        <f>SUM(AG14:AG25)</f>
        <v>0</v>
      </c>
      <c r="AH26" s="161">
        <f>SUM(AH14:AH25)</f>
        <v>0</v>
      </c>
      <c r="AI26" s="2"/>
      <c r="AJ26" s="2"/>
      <c r="AK26" s="2"/>
      <c r="AL26" s="2"/>
      <c r="AM26" s="2"/>
      <c r="AN26" s="2"/>
    </row>
    <row r="27" spans="1:40" ht="20.25" customHeight="1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X27" s="78"/>
      <c r="Z27" s="145" t="s">
        <v>139</v>
      </c>
      <c r="AA27" s="361">
        <f>AA26+AB26</f>
        <v>0</v>
      </c>
      <c r="AB27" s="361"/>
      <c r="AC27" s="361">
        <f>AC26+AD26</f>
        <v>0</v>
      </c>
      <c r="AD27" s="361"/>
      <c r="AE27" s="361">
        <f>AE26+AF26</f>
        <v>0</v>
      </c>
      <c r="AF27" s="361"/>
      <c r="AG27" s="361">
        <f>AG26+AH26</f>
        <v>0</v>
      </c>
      <c r="AH27" s="361"/>
      <c r="AI27" s="2"/>
      <c r="AJ27" s="2"/>
      <c r="AK27" s="2"/>
      <c r="AL27" s="2"/>
      <c r="AM27" s="2"/>
      <c r="AN27" s="2"/>
    </row>
    <row r="28" spans="1:40" ht="20.25" customHeight="1">
      <c r="A28" s="449" t="s">
        <v>113</v>
      </c>
      <c r="B28" s="450"/>
      <c r="C28" s="450"/>
      <c r="D28" s="450"/>
      <c r="E28" s="450"/>
      <c r="F28" s="450"/>
      <c r="G28" s="450"/>
      <c r="H28" s="451"/>
      <c r="I28" s="458"/>
      <c r="J28" s="458"/>
      <c r="K28" s="458"/>
      <c r="L28" s="76"/>
      <c r="M28" s="76" t="s">
        <v>61</v>
      </c>
      <c r="N28" s="76"/>
      <c r="O28" s="76"/>
      <c r="P28" s="76"/>
      <c r="Q28" s="76"/>
      <c r="S28" s="87"/>
      <c r="T28" s="87"/>
      <c r="U28" s="87"/>
    </row>
    <row r="29" spans="1:40" ht="20.25" customHeight="1">
      <c r="A29" s="452" t="s">
        <v>96</v>
      </c>
      <c r="B29" s="453"/>
      <c r="C29" s="453"/>
      <c r="D29" s="453"/>
      <c r="E29" s="453"/>
      <c r="F29" s="453"/>
      <c r="G29" s="453"/>
      <c r="H29" s="454"/>
      <c r="I29" s="459" t="e">
        <f>SUM(V14:V25)</f>
        <v>#N/A</v>
      </c>
      <c r="J29" s="459"/>
      <c r="K29" s="459"/>
      <c r="L29" s="84"/>
      <c r="M29" s="76" t="s">
        <v>94</v>
      </c>
      <c r="N29" s="84"/>
      <c r="O29" s="84"/>
      <c r="P29" s="84"/>
      <c r="Q29" s="84"/>
      <c r="S29" s="85"/>
      <c r="T29" s="85"/>
      <c r="U29" s="85"/>
    </row>
    <row r="30" spans="1:40" ht="20.25" customHeight="1" thickBot="1">
      <c r="A30" s="455" t="s">
        <v>95</v>
      </c>
      <c r="B30" s="456"/>
      <c r="C30" s="456"/>
      <c r="D30" s="456"/>
      <c r="E30" s="456"/>
      <c r="F30" s="456"/>
      <c r="G30" s="456"/>
      <c r="H30" s="457"/>
      <c r="I30" s="460">
        <f>SUM(W14:W25)</f>
        <v>0</v>
      </c>
      <c r="J30" s="460"/>
      <c r="K30" s="460"/>
      <c r="L30" s="84"/>
      <c r="M30" s="76" t="s">
        <v>263</v>
      </c>
      <c r="N30" s="84"/>
      <c r="O30" s="84"/>
      <c r="P30" s="84"/>
      <c r="Q30" s="84"/>
      <c r="S30" s="85"/>
      <c r="T30" s="85"/>
      <c r="U30" s="85"/>
      <c r="AA30" s="77"/>
      <c r="AB30" s="77"/>
      <c r="AC30" s="77"/>
      <c r="AD30" s="77"/>
    </row>
    <row r="31" spans="1:40" ht="20.25" customHeight="1" thickBot="1">
      <c r="A31" s="416" t="s">
        <v>114</v>
      </c>
      <c r="B31" s="417"/>
      <c r="C31" s="417"/>
      <c r="D31" s="417"/>
      <c r="E31" s="417"/>
      <c r="F31" s="417"/>
      <c r="G31" s="417"/>
      <c r="H31" s="418"/>
      <c r="I31" s="419" t="e">
        <f>SUM(I28:K30)</f>
        <v>#N/A</v>
      </c>
      <c r="J31" s="419"/>
      <c r="K31" s="420"/>
      <c r="L31" s="76"/>
      <c r="M31" s="76" t="s">
        <v>62</v>
      </c>
      <c r="N31" s="76"/>
      <c r="O31" s="76"/>
      <c r="P31" s="76"/>
      <c r="Q31" s="76"/>
      <c r="S31" s="86"/>
      <c r="T31" s="86"/>
      <c r="U31" s="86"/>
    </row>
    <row r="32" spans="1:40" ht="16.5"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1:34" ht="16.5">
      <c r="A33" s="76" t="s">
        <v>63</v>
      </c>
      <c r="B33" s="76"/>
      <c r="C33" s="76"/>
      <c r="D33" s="76"/>
      <c r="E33" s="76"/>
      <c r="F33" s="76"/>
      <c r="G33" s="76" t="s">
        <v>64</v>
      </c>
      <c r="H33" s="76"/>
      <c r="I33" s="76"/>
      <c r="J33" s="76"/>
      <c r="L33" s="76"/>
      <c r="M33" s="76" t="s">
        <v>65</v>
      </c>
      <c r="P33" s="76"/>
      <c r="Q33" s="76"/>
      <c r="S33" s="76" t="s">
        <v>66</v>
      </c>
      <c r="T33" s="76"/>
      <c r="U33" s="76"/>
    </row>
    <row r="34" spans="1:34" ht="16.5"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1:34" ht="16.5"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1:34" ht="16.5"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1:34" ht="16.5">
      <c r="U37" s="76"/>
    </row>
    <row r="38" spans="1:34" ht="16.5">
      <c r="A38" s="76"/>
      <c r="B38" s="76"/>
      <c r="C38" s="76"/>
      <c r="D38" s="76"/>
      <c r="E38" s="76"/>
      <c r="F38" s="76"/>
      <c r="G38" s="76"/>
      <c r="H38" s="76"/>
      <c r="U38" s="76"/>
    </row>
    <row r="39" spans="1:34" ht="45.75" customHeight="1" thickBot="1">
      <c r="A39" s="378" t="s">
        <v>259</v>
      </c>
      <c r="B39" s="378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159"/>
      <c r="U39" s="159"/>
    </row>
    <row r="40" spans="1:34" ht="34.5" customHeight="1" thickBot="1">
      <c r="A40" s="485" t="s">
        <v>245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7"/>
      <c r="T40"/>
      <c r="U40"/>
      <c r="AA40" s="358" t="s">
        <v>138</v>
      </c>
      <c r="AB40" s="473"/>
      <c r="AC40" s="473"/>
      <c r="AD40" s="473"/>
    </row>
    <row r="41" spans="1:34" ht="33" customHeight="1">
      <c r="A41" s="488" t="s">
        <v>158</v>
      </c>
      <c r="B41" s="489"/>
      <c r="C41" s="520" t="s">
        <v>48</v>
      </c>
      <c r="D41" s="521"/>
      <c r="E41" s="522" t="s">
        <v>49</v>
      </c>
      <c r="F41" s="521"/>
      <c r="G41" s="522" t="s">
        <v>50</v>
      </c>
      <c r="H41" s="521"/>
      <c r="I41" s="522" t="s">
        <v>91</v>
      </c>
      <c r="J41" s="521"/>
      <c r="K41" s="523" t="s">
        <v>51</v>
      </c>
      <c r="L41" s="524"/>
      <c r="M41" s="522" t="s">
        <v>52</v>
      </c>
      <c r="N41" s="525"/>
      <c r="O41" s="188" t="s">
        <v>105</v>
      </c>
      <c r="P41" s="189" t="s">
        <v>104</v>
      </c>
      <c r="Q41" s="190" t="s">
        <v>103</v>
      </c>
      <c r="R41" s="507" t="s">
        <v>142</v>
      </c>
      <c r="S41" s="509" t="s">
        <v>151</v>
      </c>
      <c r="T41"/>
      <c r="U41"/>
      <c r="Z41" s="146"/>
      <c r="AA41" s="148" t="s">
        <v>36</v>
      </c>
      <c r="AB41" s="150" t="s">
        <v>10</v>
      </c>
      <c r="AC41" s="149" t="s">
        <v>11</v>
      </c>
      <c r="AD41" s="151" t="s">
        <v>127</v>
      </c>
      <c r="AE41" s="2"/>
      <c r="AF41" s="2"/>
      <c r="AG41" s="2"/>
      <c r="AH41" s="2"/>
    </row>
    <row r="42" spans="1:34" ht="21" customHeight="1">
      <c r="A42" s="490"/>
      <c r="B42" s="491"/>
      <c r="C42" s="180" t="s">
        <v>53</v>
      </c>
      <c r="D42" s="163" t="s">
        <v>54</v>
      </c>
      <c r="E42" s="163" t="s">
        <v>53</v>
      </c>
      <c r="F42" s="163" t="s">
        <v>54</v>
      </c>
      <c r="G42" s="163" t="s">
        <v>53</v>
      </c>
      <c r="H42" s="163" t="s">
        <v>54</v>
      </c>
      <c r="I42" s="163" t="s">
        <v>53</v>
      </c>
      <c r="J42" s="163" t="s">
        <v>54</v>
      </c>
      <c r="K42" s="163" t="s">
        <v>53</v>
      </c>
      <c r="L42" s="163" t="s">
        <v>54</v>
      </c>
      <c r="M42" s="163" t="s">
        <v>53</v>
      </c>
      <c r="N42" s="321" t="s">
        <v>54</v>
      </c>
      <c r="O42" s="191" t="s">
        <v>53</v>
      </c>
      <c r="P42" s="162" t="s">
        <v>53</v>
      </c>
      <c r="Q42" s="192" t="s">
        <v>53</v>
      </c>
      <c r="R42" s="508"/>
      <c r="S42" s="510"/>
      <c r="T42"/>
      <c r="U42"/>
      <c r="AA42" s="146" t="s">
        <v>143</v>
      </c>
      <c r="AB42" s="146" t="s">
        <v>143</v>
      </c>
      <c r="AC42" s="146" t="s">
        <v>143</v>
      </c>
      <c r="AD42" s="146" t="s">
        <v>143</v>
      </c>
      <c r="AE42" s="2"/>
      <c r="AF42" s="2"/>
      <c r="AG42" s="2"/>
      <c r="AH42" s="2"/>
    </row>
    <row r="43" spans="1:34" ht="21" customHeight="1">
      <c r="A43" s="427" t="s">
        <v>55</v>
      </c>
      <c r="B43" s="232" t="s">
        <v>68</v>
      </c>
      <c r="C43" s="308" t="str">
        <f t="shared" ref="C43:H43" si="2">C14</f>
        <v>版本</v>
      </c>
      <c r="D43" s="309" t="str">
        <f t="shared" si="2"/>
        <v>版本</v>
      </c>
      <c r="E43" s="310" t="str">
        <f t="shared" si="2"/>
        <v>版本</v>
      </c>
      <c r="F43" s="309" t="str">
        <f t="shared" si="2"/>
        <v>版本</v>
      </c>
      <c r="G43" s="310" t="str">
        <f t="shared" si="2"/>
        <v>版本</v>
      </c>
      <c r="H43" s="309" t="str">
        <f t="shared" si="2"/>
        <v>版本</v>
      </c>
      <c r="I43" s="504">
        <v>0</v>
      </c>
      <c r="J43" s="501"/>
      <c r="K43" s="504">
        <v>0</v>
      </c>
      <c r="L43" s="501"/>
      <c r="M43" s="504">
        <v>0</v>
      </c>
      <c r="N43" s="505"/>
      <c r="O43" s="311" t="str">
        <f>O14</f>
        <v>版本</v>
      </c>
      <c r="P43" s="504">
        <v>0</v>
      </c>
      <c r="Q43" s="506"/>
      <c r="R43" s="511">
        <f>SUM(C47:O47)</f>
        <v>0</v>
      </c>
      <c r="S43" s="514" t="e">
        <f>SUM(C48:O48)</f>
        <v>#VALUE!</v>
      </c>
      <c r="U43"/>
      <c r="Z43" s="362" t="s">
        <v>102</v>
      </c>
      <c r="AA43" s="358">
        <f>SUMIF(C43:O43,"康軒",C48:O48)</f>
        <v>0</v>
      </c>
      <c r="AB43" s="358">
        <f>SUMIF(C43:O43,"翰林",C48:O48)</f>
        <v>0</v>
      </c>
      <c r="AC43" s="358">
        <f>SUMIF(C43:O43,"南一",C48:O48)</f>
        <v>0</v>
      </c>
      <c r="AD43" s="359"/>
      <c r="AE43" s="2"/>
      <c r="AF43" s="2"/>
      <c r="AG43" s="2"/>
      <c r="AH43" s="2"/>
    </row>
    <row r="44" spans="1:34" ht="21" customHeight="1">
      <c r="A44" s="428"/>
      <c r="B44" s="232" t="s">
        <v>70</v>
      </c>
      <c r="C44" s="181" t="str">
        <f>VLOOKUP(C43,工作表2!A28:BG32,2,FALSE)</f>
        <v>金額</v>
      </c>
      <c r="D44" s="134" t="str">
        <f>VLOOKUP(D43,工作表2!A28:BG32,3,FALSE)</f>
        <v>金額</v>
      </c>
      <c r="E44" s="134" t="str">
        <f>VLOOKUP(E43,工作表2!A28:BG32,4,FALSE)</f>
        <v>金額</v>
      </c>
      <c r="F44" s="134" t="str">
        <f>VLOOKUP(F43,工作表2!A28:BG32,5,FALSE)</f>
        <v>金額</v>
      </c>
      <c r="G44" s="134" t="str">
        <f>VLOOKUP(G43,工作表2!A28:BG32,6,FALSE)</f>
        <v>金額</v>
      </c>
      <c r="H44" s="134" t="str">
        <f>VLOOKUP(H43,工作表2!A28:BG32,7,FALSE)</f>
        <v>金額</v>
      </c>
      <c r="I44" s="504">
        <v>0</v>
      </c>
      <c r="J44" s="501"/>
      <c r="K44" s="504">
        <v>0</v>
      </c>
      <c r="L44" s="501"/>
      <c r="M44" s="504">
        <v>0</v>
      </c>
      <c r="N44" s="505"/>
      <c r="O44" s="181" t="str">
        <f>VLOOKUP(O43,工作表2!A28:BG32,8,FALSE)</f>
        <v>金額</v>
      </c>
      <c r="P44" s="504">
        <v>0</v>
      </c>
      <c r="Q44" s="506"/>
      <c r="R44" s="512"/>
      <c r="S44" s="515"/>
      <c r="U44"/>
      <c r="Z44" s="362"/>
      <c r="AA44" s="359"/>
      <c r="AB44" s="358"/>
      <c r="AC44" s="358"/>
      <c r="AD44" s="359"/>
      <c r="AE44" s="2"/>
      <c r="AF44" s="2"/>
      <c r="AG44" s="2"/>
      <c r="AH44" s="2"/>
    </row>
    <row r="45" spans="1:34" ht="21" customHeight="1">
      <c r="A45" s="428"/>
      <c r="B45" s="233" t="s">
        <v>152</v>
      </c>
      <c r="C45" s="305"/>
      <c r="D45" s="306"/>
      <c r="E45" s="306"/>
      <c r="F45" s="306"/>
      <c r="G45" s="306"/>
      <c r="H45" s="306"/>
      <c r="I45" s="504">
        <v>0</v>
      </c>
      <c r="J45" s="501"/>
      <c r="K45" s="504">
        <v>0</v>
      </c>
      <c r="L45" s="501"/>
      <c r="M45" s="504">
        <v>0</v>
      </c>
      <c r="N45" s="505"/>
      <c r="O45" s="305"/>
      <c r="P45" s="504">
        <v>0</v>
      </c>
      <c r="Q45" s="506"/>
      <c r="R45" s="512"/>
      <c r="S45" s="515"/>
      <c r="U45"/>
      <c r="Z45" s="362" t="s">
        <v>101</v>
      </c>
      <c r="AA45" s="358">
        <f>SUMIF(C49:O49,"康軒",C54:O54)</f>
        <v>0</v>
      </c>
      <c r="AB45" s="358">
        <f>SUMIF(C49:O49,"翰林",C54:O54)</f>
        <v>0</v>
      </c>
      <c r="AC45" s="358">
        <f>SUMIF(C49:O49,"南一",C54:O54)</f>
        <v>0</v>
      </c>
      <c r="AD45" s="358"/>
      <c r="AE45" s="2"/>
      <c r="AF45" s="2"/>
      <c r="AG45" s="2"/>
      <c r="AH45" s="2"/>
    </row>
    <row r="46" spans="1:34" ht="21" customHeight="1">
      <c r="A46" s="428"/>
      <c r="B46" s="233" t="s">
        <v>257</v>
      </c>
      <c r="C46" s="305"/>
      <c r="D46" s="306"/>
      <c r="E46" s="306"/>
      <c r="F46" s="306"/>
      <c r="G46" s="306"/>
      <c r="H46" s="306"/>
      <c r="I46" s="504">
        <v>0</v>
      </c>
      <c r="J46" s="501"/>
      <c r="K46" s="504">
        <v>0</v>
      </c>
      <c r="L46" s="501"/>
      <c r="M46" s="504">
        <v>0</v>
      </c>
      <c r="N46" s="501"/>
      <c r="O46" s="305"/>
      <c r="P46" s="504">
        <v>0</v>
      </c>
      <c r="Q46" s="506"/>
      <c r="R46" s="512"/>
      <c r="S46" s="515"/>
      <c r="U46"/>
      <c r="Z46" s="362"/>
      <c r="AA46" s="358"/>
      <c r="AB46" s="358"/>
      <c r="AC46" s="358"/>
      <c r="AD46" s="358"/>
      <c r="AE46" s="2"/>
      <c r="AF46" s="2"/>
      <c r="AG46" s="2"/>
      <c r="AH46" s="2"/>
    </row>
    <row r="47" spans="1:34" ht="21" customHeight="1">
      <c r="A47" s="428"/>
      <c r="B47" s="232" t="s">
        <v>153</v>
      </c>
      <c r="C47" s="182">
        <f>IF((C45-C46)&lt;0,0,(C45-C46))</f>
        <v>0</v>
      </c>
      <c r="D47" s="164">
        <f t="shared" ref="D47:H47" si="3">IF((D45-D46)&lt;0,0,(D45-D46))</f>
        <v>0</v>
      </c>
      <c r="E47" s="164">
        <f t="shared" si="3"/>
        <v>0</v>
      </c>
      <c r="F47" s="164">
        <f t="shared" si="3"/>
        <v>0</v>
      </c>
      <c r="G47" s="164">
        <f t="shared" si="3"/>
        <v>0</v>
      </c>
      <c r="H47" s="164">
        <f t="shared" si="3"/>
        <v>0</v>
      </c>
      <c r="I47" s="504">
        <v>0</v>
      </c>
      <c r="J47" s="501"/>
      <c r="K47" s="504">
        <v>0</v>
      </c>
      <c r="L47" s="501"/>
      <c r="M47" s="504">
        <v>0</v>
      </c>
      <c r="N47" s="505"/>
      <c r="O47" s="182">
        <f>IF((O45-D46)&lt;0,0,(O45-D46))</f>
        <v>0</v>
      </c>
      <c r="P47" s="504">
        <v>0</v>
      </c>
      <c r="Q47" s="506"/>
      <c r="R47" s="512"/>
      <c r="S47" s="515"/>
      <c r="U47"/>
      <c r="Z47" s="362" t="s">
        <v>100</v>
      </c>
      <c r="AA47" s="358">
        <f>SUMIF(E55:Q55,"康軒",E60:Q60)</f>
        <v>0</v>
      </c>
      <c r="AB47" s="358">
        <f>SUMIF(E55:Q55,"翰林",E60:Q60)</f>
        <v>0</v>
      </c>
      <c r="AC47" s="358">
        <f>SUMIF(E55:Q55,"南一",E60:Q60)</f>
        <v>0</v>
      </c>
      <c r="AD47" s="358">
        <f>SUMIF(E55:Q55,"何嘉仁",E60:Q60)</f>
        <v>0</v>
      </c>
      <c r="AE47" s="2"/>
      <c r="AF47" s="2"/>
      <c r="AG47" s="2"/>
      <c r="AH47" s="2"/>
    </row>
    <row r="48" spans="1:34" ht="21" customHeight="1">
      <c r="A48" s="429"/>
      <c r="B48" s="232" t="s">
        <v>150</v>
      </c>
      <c r="C48" s="183" t="e">
        <f>C44*C47</f>
        <v>#VALUE!</v>
      </c>
      <c r="D48" s="165" t="e">
        <f t="shared" ref="D48:H48" si="4">D44*D47</f>
        <v>#VALUE!</v>
      </c>
      <c r="E48" s="165" t="e">
        <f t="shared" si="4"/>
        <v>#VALUE!</v>
      </c>
      <c r="F48" s="165" t="e">
        <f t="shared" si="4"/>
        <v>#VALUE!</v>
      </c>
      <c r="G48" s="165" t="e">
        <f t="shared" si="4"/>
        <v>#VALUE!</v>
      </c>
      <c r="H48" s="165" t="e">
        <f t="shared" si="4"/>
        <v>#VALUE!</v>
      </c>
      <c r="I48" s="504">
        <v>0</v>
      </c>
      <c r="J48" s="501"/>
      <c r="K48" s="504">
        <v>0</v>
      </c>
      <c r="L48" s="501"/>
      <c r="M48" s="504">
        <v>0</v>
      </c>
      <c r="N48" s="505"/>
      <c r="O48" s="183" t="e">
        <f>O44*O47</f>
        <v>#VALUE!</v>
      </c>
      <c r="P48" s="504">
        <v>0</v>
      </c>
      <c r="Q48" s="506"/>
      <c r="R48" s="513"/>
      <c r="S48" s="516"/>
      <c r="U48"/>
      <c r="Z48" s="362"/>
      <c r="AA48" s="358"/>
      <c r="AB48" s="358"/>
      <c r="AC48" s="358"/>
      <c r="AD48" s="358"/>
      <c r="AE48" s="2"/>
      <c r="AF48" s="2"/>
      <c r="AG48" s="2"/>
      <c r="AH48" s="2"/>
    </row>
    <row r="49" spans="1:34" ht="21" customHeight="1">
      <c r="A49" s="430" t="s">
        <v>56</v>
      </c>
      <c r="B49" s="232" t="s">
        <v>68</v>
      </c>
      <c r="C49" s="311" t="str">
        <f t="shared" ref="C49:H49" si="5">C16</f>
        <v>版本</v>
      </c>
      <c r="D49" s="309" t="str">
        <f t="shared" si="5"/>
        <v>版本</v>
      </c>
      <c r="E49" s="309" t="str">
        <f t="shared" si="5"/>
        <v>版本</v>
      </c>
      <c r="F49" s="309" t="str">
        <f t="shared" si="5"/>
        <v>版本</v>
      </c>
      <c r="G49" s="309" t="str">
        <f t="shared" si="5"/>
        <v>版本</v>
      </c>
      <c r="H49" s="309" t="str">
        <f t="shared" si="5"/>
        <v>版本</v>
      </c>
      <c r="I49" s="504">
        <v>0</v>
      </c>
      <c r="J49" s="501"/>
      <c r="K49" s="504">
        <v>0</v>
      </c>
      <c r="L49" s="501"/>
      <c r="M49" s="504">
        <v>0</v>
      </c>
      <c r="N49" s="505"/>
      <c r="O49" s="311" t="str">
        <f>O16</f>
        <v>版本</v>
      </c>
      <c r="P49" s="504">
        <v>0</v>
      </c>
      <c r="Q49" s="506"/>
      <c r="R49" s="511">
        <f>SUM(C53:O53)</f>
        <v>0</v>
      </c>
      <c r="S49" s="514" t="e">
        <f>SUM(C54:O54)</f>
        <v>#VALUE!</v>
      </c>
      <c r="U49"/>
      <c r="Z49" s="362" t="s">
        <v>99</v>
      </c>
      <c r="AA49" s="358">
        <f>SUMIF(E61:Q61,"康軒",E66:Q66)</f>
        <v>0</v>
      </c>
      <c r="AB49" s="358">
        <f>SUMIF(E61:Q61,"翰林",E66:Q66)</f>
        <v>0</v>
      </c>
      <c r="AC49" s="358">
        <f>SUMIF(E61:Q61,"南一",E66:Q66)</f>
        <v>0</v>
      </c>
      <c r="AD49" s="358">
        <f>SUMIF(E61:Q61,"何嘉仁",E66:Q66)</f>
        <v>0</v>
      </c>
      <c r="AE49" s="2"/>
      <c r="AF49" s="2"/>
      <c r="AG49" s="2"/>
      <c r="AH49" s="2"/>
    </row>
    <row r="50" spans="1:34" ht="21" customHeight="1">
      <c r="A50" s="431"/>
      <c r="B50" s="232" t="s">
        <v>70</v>
      </c>
      <c r="C50" s="181" t="str">
        <f>VLOOKUP(C49,工作表2!A28:BG32,9,FALSE)</f>
        <v>金額</v>
      </c>
      <c r="D50" s="134" t="str">
        <f>VLOOKUP(D49,工作表2!A28:BG32,10,FALSE)</f>
        <v>金額</v>
      </c>
      <c r="E50" s="134" t="str">
        <f>VLOOKUP(E49,工作表2!A28:BG32,11,FALSE)</f>
        <v>金額</v>
      </c>
      <c r="F50" s="134" t="str">
        <f>VLOOKUP(F49,工作表2!A28:BG32,12,FALSE)</f>
        <v>金額</v>
      </c>
      <c r="G50" s="134" t="str">
        <f>VLOOKUP(G49,工作表2!A28:BG32,13,FALSE)</f>
        <v>金額</v>
      </c>
      <c r="H50" s="134" t="str">
        <f>VLOOKUP(H49,工作表2!A28:BG32,14,FALSE)</f>
        <v>金額</v>
      </c>
      <c r="I50" s="504">
        <v>0</v>
      </c>
      <c r="J50" s="501"/>
      <c r="K50" s="504">
        <v>0</v>
      </c>
      <c r="L50" s="501"/>
      <c r="M50" s="504">
        <v>0</v>
      </c>
      <c r="N50" s="505"/>
      <c r="O50" s="181" t="str">
        <f>VLOOKUP(O49,工作表2!A28:BG32,15,FALSE)</f>
        <v>金額</v>
      </c>
      <c r="P50" s="504">
        <v>0</v>
      </c>
      <c r="Q50" s="506"/>
      <c r="R50" s="512"/>
      <c r="S50" s="515"/>
      <c r="U50"/>
      <c r="Z50" s="362"/>
      <c r="AA50" s="358"/>
      <c r="AB50" s="358"/>
      <c r="AC50" s="358"/>
      <c r="AD50" s="358"/>
      <c r="AE50" s="2"/>
      <c r="AF50" s="2"/>
      <c r="AG50" s="2"/>
      <c r="AH50" s="2"/>
    </row>
    <row r="51" spans="1:34" ht="21" customHeight="1">
      <c r="A51" s="431"/>
      <c r="B51" s="233" t="s">
        <v>152</v>
      </c>
      <c r="C51" s="305"/>
      <c r="D51" s="306"/>
      <c r="E51" s="306"/>
      <c r="F51" s="306"/>
      <c r="G51" s="306"/>
      <c r="H51" s="306"/>
      <c r="I51" s="504">
        <v>0</v>
      </c>
      <c r="J51" s="501"/>
      <c r="K51" s="504">
        <v>0</v>
      </c>
      <c r="L51" s="501"/>
      <c r="M51" s="504">
        <v>0</v>
      </c>
      <c r="N51" s="505"/>
      <c r="O51" s="305"/>
      <c r="P51" s="504">
        <v>0</v>
      </c>
      <c r="Q51" s="506"/>
      <c r="R51" s="512"/>
      <c r="S51" s="515"/>
      <c r="U51"/>
      <c r="Z51" s="362" t="s">
        <v>98</v>
      </c>
      <c r="AA51" s="358">
        <f>SUMIF(E67:Q67,"康軒",E72:Q72)</f>
        <v>0</v>
      </c>
      <c r="AB51" s="358">
        <f>SUMIF(E67:Q67,"翰林",E72:Q72)</f>
        <v>0</v>
      </c>
      <c r="AC51" s="358">
        <f>SUMIF(E67:Q67,"南一",E72:Q72)</f>
        <v>0</v>
      </c>
      <c r="AD51" s="358">
        <f>SUMIF(E67:Q67,"何嘉仁",E72:Q72)</f>
        <v>0</v>
      </c>
      <c r="AE51" s="2"/>
      <c r="AF51" s="2"/>
      <c r="AG51" s="2"/>
      <c r="AH51" s="2"/>
    </row>
    <row r="52" spans="1:34" ht="21" customHeight="1">
      <c r="A52" s="431"/>
      <c r="B52" s="233" t="s">
        <v>257</v>
      </c>
      <c r="C52" s="305"/>
      <c r="D52" s="306"/>
      <c r="E52" s="306"/>
      <c r="F52" s="306"/>
      <c r="G52" s="306"/>
      <c r="H52" s="306"/>
      <c r="I52" s="504">
        <v>0</v>
      </c>
      <c r="J52" s="501"/>
      <c r="K52" s="504">
        <v>0</v>
      </c>
      <c r="L52" s="501"/>
      <c r="M52" s="504">
        <v>0</v>
      </c>
      <c r="N52" s="501"/>
      <c r="O52" s="305"/>
      <c r="P52" s="504">
        <v>0</v>
      </c>
      <c r="Q52" s="506"/>
      <c r="R52" s="512"/>
      <c r="S52" s="515"/>
      <c r="U52"/>
      <c r="Z52" s="362"/>
      <c r="AA52" s="358"/>
      <c r="AB52" s="358"/>
      <c r="AC52" s="358"/>
      <c r="AD52" s="358"/>
      <c r="AE52" s="2"/>
      <c r="AF52" s="2"/>
      <c r="AG52" s="2"/>
      <c r="AH52" s="2"/>
    </row>
    <row r="53" spans="1:34" ht="21" customHeight="1">
      <c r="A53" s="431"/>
      <c r="B53" s="232" t="s">
        <v>153</v>
      </c>
      <c r="C53" s="182">
        <f>IF((C51-C52)&lt;0,0,(C51-C52))</f>
        <v>0</v>
      </c>
      <c r="D53" s="164">
        <f>IF((D51-D52)&lt;0,0,(D51-D52))</f>
        <v>0</v>
      </c>
      <c r="E53" s="164">
        <f t="shared" ref="E53:H53" si="6">IF((E51-E52)&lt;0,0,(E51-E52))</f>
        <v>0</v>
      </c>
      <c r="F53" s="164">
        <f t="shared" si="6"/>
        <v>0</v>
      </c>
      <c r="G53" s="164">
        <f t="shared" si="6"/>
        <v>0</v>
      </c>
      <c r="H53" s="164">
        <f t="shared" si="6"/>
        <v>0</v>
      </c>
      <c r="I53" s="504">
        <v>0</v>
      </c>
      <c r="J53" s="501"/>
      <c r="K53" s="504">
        <v>0</v>
      </c>
      <c r="L53" s="501"/>
      <c r="M53" s="504">
        <v>0</v>
      </c>
      <c r="N53" s="505"/>
      <c r="O53" s="182">
        <f>IF((O51-O52)&lt;0,0,(O51-O52))</f>
        <v>0</v>
      </c>
      <c r="P53" s="504">
        <v>0</v>
      </c>
      <c r="Q53" s="506"/>
      <c r="R53" s="512"/>
      <c r="S53" s="515"/>
      <c r="U53"/>
      <c r="Z53" s="362"/>
      <c r="AA53" s="358"/>
      <c r="AB53" s="358"/>
      <c r="AC53" s="358"/>
      <c r="AD53" s="358"/>
      <c r="AE53" s="2"/>
      <c r="AF53" s="146" t="s">
        <v>143</v>
      </c>
      <c r="AG53" s="2"/>
      <c r="AH53" s="146" t="s">
        <v>143</v>
      </c>
    </row>
    <row r="54" spans="1:34" ht="21" customHeight="1">
      <c r="A54" s="432"/>
      <c r="B54" s="232" t="s">
        <v>150</v>
      </c>
      <c r="C54" s="183" t="e">
        <f>C50*C53</f>
        <v>#VALUE!</v>
      </c>
      <c r="D54" s="165" t="e">
        <f>D50*D53</f>
        <v>#VALUE!</v>
      </c>
      <c r="E54" s="165" t="e">
        <f t="shared" ref="E54:G54" si="7">E50*E53</f>
        <v>#VALUE!</v>
      </c>
      <c r="F54" s="165" t="e">
        <f t="shared" si="7"/>
        <v>#VALUE!</v>
      </c>
      <c r="G54" s="165" t="e">
        <f t="shared" si="7"/>
        <v>#VALUE!</v>
      </c>
      <c r="H54" s="165" t="e">
        <f>H50*H53</f>
        <v>#VALUE!</v>
      </c>
      <c r="I54" s="504">
        <v>0</v>
      </c>
      <c r="J54" s="501"/>
      <c r="K54" s="504">
        <v>0</v>
      </c>
      <c r="L54" s="501"/>
      <c r="M54" s="504">
        <v>0</v>
      </c>
      <c r="N54" s="505"/>
      <c r="O54" s="183" t="e">
        <f>O50*O53</f>
        <v>#VALUE!</v>
      </c>
      <c r="P54" s="504">
        <v>0</v>
      </c>
      <c r="Q54" s="506"/>
      <c r="R54" s="513"/>
      <c r="S54" s="516"/>
      <c r="U54"/>
      <c r="Z54" s="362" t="s">
        <v>97</v>
      </c>
      <c r="AA54" s="358">
        <f>SUMIF(E73:Q73,"康軒",E78:Q78)+AF54+AF55</f>
        <v>0</v>
      </c>
      <c r="AB54" s="358">
        <f>SUMIF(E73:Q73,"翰林",E78:Q78)</f>
        <v>0</v>
      </c>
      <c r="AC54" s="358">
        <f>SUMIF(E73:Q73,"南一",E78:Q78)</f>
        <v>0</v>
      </c>
      <c r="AD54" s="358">
        <f>AH54+AH55</f>
        <v>0</v>
      </c>
      <c r="AE54" s="157" t="s">
        <v>130</v>
      </c>
      <c r="AF54" s="146">
        <f>SUMIF(E73:Q73,"康軒 Hello,Kids!",E78:Q78)</f>
        <v>0</v>
      </c>
      <c r="AG54" s="158" t="s">
        <v>145</v>
      </c>
      <c r="AH54" s="146">
        <f>SUMIF(E73:Q73,"何嘉仁 Story.com",E78:Q78)</f>
        <v>0</v>
      </c>
    </row>
    <row r="55" spans="1:34" ht="21" customHeight="1">
      <c r="A55" s="427" t="s">
        <v>57</v>
      </c>
      <c r="B55" s="232" t="s">
        <v>68</v>
      </c>
      <c r="C55" s="500">
        <v>0</v>
      </c>
      <c r="D55" s="501"/>
      <c r="E55" s="309" t="str">
        <f t="shared" ref="E55:Q55" si="8">E18</f>
        <v>版本</v>
      </c>
      <c r="F55" s="309" t="str">
        <f t="shared" si="8"/>
        <v>版本</v>
      </c>
      <c r="G55" s="309" t="str">
        <f t="shared" si="8"/>
        <v>版本</v>
      </c>
      <c r="H55" s="309" t="str">
        <f t="shared" si="8"/>
        <v>版本</v>
      </c>
      <c r="I55" s="309" t="str">
        <f t="shared" si="8"/>
        <v>版本</v>
      </c>
      <c r="J55" s="309" t="str">
        <f t="shared" si="8"/>
        <v>版本</v>
      </c>
      <c r="K55" s="309" t="str">
        <f t="shared" si="8"/>
        <v>版本</v>
      </c>
      <c r="L55" s="309" t="str">
        <f t="shared" si="8"/>
        <v>版本</v>
      </c>
      <c r="M55" s="309" t="str">
        <f t="shared" si="8"/>
        <v>版本</v>
      </c>
      <c r="N55" s="322" t="str">
        <f t="shared" si="8"/>
        <v>版本</v>
      </c>
      <c r="O55" s="311" t="str">
        <f t="shared" si="8"/>
        <v>版本</v>
      </c>
      <c r="P55" s="309" t="str">
        <f t="shared" si="8"/>
        <v>版本</v>
      </c>
      <c r="Q55" s="312" t="str">
        <f t="shared" si="8"/>
        <v>版本</v>
      </c>
      <c r="R55" s="511">
        <f>SUM(E59:Q59)</f>
        <v>0</v>
      </c>
      <c r="S55" s="514" t="e">
        <f>SUM(E60:Q60)</f>
        <v>#VALUE!</v>
      </c>
      <c r="U55"/>
      <c r="Z55" s="362"/>
      <c r="AA55" s="358"/>
      <c r="AB55" s="358"/>
      <c r="AC55" s="358"/>
      <c r="AD55" s="358"/>
      <c r="AE55" s="157" t="s">
        <v>144</v>
      </c>
      <c r="AF55" s="146">
        <f>SUMIF(E73:Q73,"康軒 Follow Me.",E78:Q78)</f>
        <v>0</v>
      </c>
      <c r="AG55" s="158" t="s">
        <v>146</v>
      </c>
      <c r="AH55" s="146">
        <f>SUMIF(E73:Q73,"何嘉仁 eSTAR",E78:Q78)</f>
        <v>0</v>
      </c>
    </row>
    <row r="56" spans="1:34" ht="21" customHeight="1">
      <c r="A56" s="428"/>
      <c r="B56" s="232" t="s">
        <v>70</v>
      </c>
      <c r="C56" s="500">
        <v>0</v>
      </c>
      <c r="D56" s="501"/>
      <c r="E56" s="134" t="str">
        <f>VLOOKUP(E55,工作表2!A28:BG32,16,FALSE)</f>
        <v>金額</v>
      </c>
      <c r="F56" s="134" t="str">
        <f>VLOOKUP(F55,工作表2!A28:BG32,17,FALSE)</f>
        <v>金額</v>
      </c>
      <c r="G56" s="134" t="str">
        <f>VLOOKUP(G55,工作表2!A28:BG32,18,FALSE)</f>
        <v>金額</v>
      </c>
      <c r="H56" s="134" t="str">
        <f>VLOOKUP(H55,工作表2!A28:BG32,19,FALSE)</f>
        <v>金額</v>
      </c>
      <c r="I56" s="134" t="str">
        <f>VLOOKUP(I55,工作表2!A28:BG32,20,FALSE)</f>
        <v>金額</v>
      </c>
      <c r="J56" s="134" t="str">
        <f>VLOOKUP(J55,工作表2!A28:BG32,21,FALSE)</f>
        <v>金額</v>
      </c>
      <c r="K56" s="134" t="str">
        <f>VLOOKUP(K55,工作表2!A28:BG32,22,FALSE)</f>
        <v>金額</v>
      </c>
      <c r="L56" s="134" t="str">
        <f>VLOOKUP(L55,工作表2!A28:BG32,23,FALSE)</f>
        <v>金額</v>
      </c>
      <c r="M56" s="134" t="str">
        <f>VLOOKUP(M55,工作表2!A38:G42,2,FALSE)</f>
        <v>金額</v>
      </c>
      <c r="N56" s="323" t="str">
        <f>VLOOKUP(N55,工作表2!A38:G42,3,FALSE)</f>
        <v>金額</v>
      </c>
      <c r="O56" s="181" t="str">
        <f>VLOOKUP(O55,工作表2!A28:BG32,24,FALSE)</f>
        <v>金額</v>
      </c>
      <c r="P56" s="134" t="str">
        <f>VLOOKUP(P55,工作表2!A28:BG32,25,FALSE)</f>
        <v>金額</v>
      </c>
      <c r="Q56" s="136" t="str">
        <f>VLOOKUP(Q55,工作表2!A28:BG32,26,FALSE)</f>
        <v>金額</v>
      </c>
      <c r="R56" s="512"/>
      <c r="S56" s="515"/>
      <c r="U56"/>
      <c r="Z56" s="144" t="s">
        <v>9</v>
      </c>
      <c r="AA56" s="147">
        <f>SUM(AA43:AA55)</f>
        <v>0</v>
      </c>
      <c r="AB56" s="147">
        <f>SUM(AB43:AB55)</f>
        <v>0</v>
      </c>
      <c r="AC56" s="147">
        <f>SUM(AC43:AC55)</f>
        <v>0</v>
      </c>
      <c r="AD56" s="147">
        <f>SUM(AD43:AD55)</f>
        <v>0</v>
      </c>
      <c r="AE56" s="2"/>
      <c r="AF56" s="2"/>
      <c r="AG56" s="2"/>
      <c r="AH56" s="2"/>
    </row>
    <row r="57" spans="1:34" ht="21" customHeight="1">
      <c r="A57" s="428"/>
      <c r="B57" s="233" t="s">
        <v>152</v>
      </c>
      <c r="C57" s="500">
        <v>0</v>
      </c>
      <c r="D57" s="501"/>
      <c r="E57" s="306"/>
      <c r="F57" s="306"/>
      <c r="G57" s="306"/>
      <c r="H57" s="306"/>
      <c r="I57" s="306"/>
      <c r="J57" s="306"/>
      <c r="K57" s="306"/>
      <c r="L57" s="306"/>
      <c r="M57" s="306"/>
      <c r="N57" s="324"/>
      <c r="O57" s="305"/>
      <c r="P57" s="306"/>
      <c r="Q57" s="307"/>
      <c r="R57" s="512"/>
      <c r="S57" s="515"/>
      <c r="U57"/>
    </row>
    <row r="58" spans="1:34" ht="21" customHeight="1">
      <c r="A58" s="428"/>
      <c r="B58" s="233" t="s">
        <v>257</v>
      </c>
      <c r="C58" s="500">
        <v>0</v>
      </c>
      <c r="D58" s="501"/>
      <c r="E58" s="306"/>
      <c r="F58" s="306"/>
      <c r="G58" s="306"/>
      <c r="H58" s="306"/>
      <c r="I58" s="306"/>
      <c r="J58" s="306"/>
      <c r="K58" s="306"/>
      <c r="L58" s="306"/>
      <c r="M58" s="306"/>
      <c r="N58" s="324"/>
      <c r="O58" s="305"/>
      <c r="P58" s="306"/>
      <c r="Q58" s="307"/>
      <c r="R58" s="512"/>
      <c r="S58" s="515"/>
      <c r="U58"/>
    </row>
    <row r="59" spans="1:34" ht="21" customHeight="1">
      <c r="A59" s="428"/>
      <c r="B59" s="232" t="s">
        <v>153</v>
      </c>
      <c r="C59" s="500">
        <v>0</v>
      </c>
      <c r="D59" s="501"/>
      <c r="E59" s="164">
        <f>IF((E57-E58)&lt;0,0,(E57-E58))</f>
        <v>0</v>
      </c>
      <c r="F59" s="164">
        <f>IF((F57-F58)&lt;0,0,(F57-F58))</f>
        <v>0</v>
      </c>
      <c r="G59" s="164">
        <f t="shared" ref="G59:Q59" si="9">IF((G57-G58)&lt;0,0,(G57-G58))</f>
        <v>0</v>
      </c>
      <c r="H59" s="164">
        <f t="shared" si="9"/>
        <v>0</v>
      </c>
      <c r="I59" s="164">
        <f t="shared" si="9"/>
        <v>0</v>
      </c>
      <c r="J59" s="164">
        <f>IF((J57-J58)&lt;0,0,(J57-J58))</f>
        <v>0</v>
      </c>
      <c r="K59" s="164">
        <f t="shared" si="9"/>
        <v>0</v>
      </c>
      <c r="L59" s="164">
        <f t="shared" si="9"/>
        <v>0</v>
      </c>
      <c r="M59" s="164">
        <f t="shared" si="9"/>
        <v>0</v>
      </c>
      <c r="N59" s="325">
        <f t="shared" si="9"/>
        <v>0</v>
      </c>
      <c r="O59" s="182">
        <f t="shared" si="9"/>
        <v>0</v>
      </c>
      <c r="P59" s="164">
        <f t="shared" si="9"/>
        <v>0</v>
      </c>
      <c r="Q59" s="184">
        <f t="shared" si="9"/>
        <v>0</v>
      </c>
      <c r="R59" s="512"/>
      <c r="S59" s="515"/>
      <c r="U59"/>
    </row>
    <row r="60" spans="1:34" ht="21" customHeight="1">
      <c r="A60" s="429"/>
      <c r="B60" s="232" t="s">
        <v>150</v>
      </c>
      <c r="C60" s="500">
        <v>0</v>
      </c>
      <c r="D60" s="501"/>
      <c r="E60" s="165" t="e">
        <f>E56*E59</f>
        <v>#VALUE!</v>
      </c>
      <c r="F60" s="165" t="e">
        <f>F56*F59</f>
        <v>#VALUE!</v>
      </c>
      <c r="G60" s="165" t="e">
        <f t="shared" ref="G60:Q60" si="10">G56*G59</f>
        <v>#VALUE!</v>
      </c>
      <c r="H60" s="165" t="e">
        <f t="shared" si="10"/>
        <v>#VALUE!</v>
      </c>
      <c r="I60" s="165" t="e">
        <f t="shared" si="10"/>
        <v>#VALUE!</v>
      </c>
      <c r="J60" s="165" t="e">
        <f t="shared" si="10"/>
        <v>#VALUE!</v>
      </c>
      <c r="K60" s="165" t="e">
        <f t="shared" si="10"/>
        <v>#VALUE!</v>
      </c>
      <c r="L60" s="165" t="e">
        <f t="shared" si="10"/>
        <v>#VALUE!</v>
      </c>
      <c r="M60" s="165" t="e">
        <f t="shared" si="10"/>
        <v>#VALUE!</v>
      </c>
      <c r="N60" s="326" t="e">
        <f t="shared" si="10"/>
        <v>#VALUE!</v>
      </c>
      <c r="O60" s="183" t="e">
        <f t="shared" si="10"/>
        <v>#VALUE!</v>
      </c>
      <c r="P60" s="165" t="e">
        <f t="shared" si="10"/>
        <v>#VALUE!</v>
      </c>
      <c r="Q60" s="185" t="e">
        <f t="shared" si="10"/>
        <v>#VALUE!</v>
      </c>
      <c r="R60" s="513"/>
      <c r="S60" s="516"/>
      <c r="U60"/>
    </row>
    <row r="61" spans="1:34" ht="21" customHeight="1">
      <c r="A61" s="427" t="s">
        <v>58</v>
      </c>
      <c r="B61" s="232" t="s">
        <v>68</v>
      </c>
      <c r="C61" s="500">
        <v>0</v>
      </c>
      <c r="D61" s="501"/>
      <c r="E61" s="309" t="str">
        <f t="shared" ref="E61:Q61" si="11">E20</f>
        <v>版本</v>
      </c>
      <c r="F61" s="309" t="str">
        <f t="shared" si="11"/>
        <v>版本</v>
      </c>
      <c r="G61" s="309" t="str">
        <f t="shared" si="11"/>
        <v>版本</v>
      </c>
      <c r="H61" s="309" t="str">
        <f t="shared" si="11"/>
        <v>版本</v>
      </c>
      <c r="I61" s="309" t="str">
        <f t="shared" si="11"/>
        <v>版本</v>
      </c>
      <c r="J61" s="309" t="str">
        <f t="shared" si="11"/>
        <v>版本</v>
      </c>
      <c r="K61" s="309" t="str">
        <f t="shared" si="11"/>
        <v>版本</v>
      </c>
      <c r="L61" s="309" t="str">
        <f t="shared" si="11"/>
        <v>版本</v>
      </c>
      <c r="M61" s="309" t="str">
        <f t="shared" si="11"/>
        <v>版本</v>
      </c>
      <c r="N61" s="322" t="str">
        <f t="shared" si="11"/>
        <v>版本</v>
      </c>
      <c r="O61" s="311" t="str">
        <f t="shared" si="11"/>
        <v>版本</v>
      </c>
      <c r="P61" s="309" t="str">
        <f t="shared" si="11"/>
        <v>版本</v>
      </c>
      <c r="Q61" s="312" t="str">
        <f t="shared" si="11"/>
        <v>版本</v>
      </c>
      <c r="R61" s="511">
        <f>SUM(E65:Q65)</f>
        <v>0</v>
      </c>
      <c r="S61" s="514" t="e">
        <f>SUM(E66:Q66)</f>
        <v>#VALUE!</v>
      </c>
      <c r="U61"/>
    </row>
    <row r="62" spans="1:34" ht="21" customHeight="1">
      <c r="A62" s="428"/>
      <c r="B62" s="232" t="s">
        <v>70</v>
      </c>
      <c r="C62" s="500">
        <v>0</v>
      </c>
      <c r="D62" s="501"/>
      <c r="E62" s="134" t="str">
        <f>VLOOKUP(E61,工作表2!A28:BG32,27,FALSE)</f>
        <v>金額</v>
      </c>
      <c r="F62" s="134" t="str">
        <f>VLOOKUP(F61,工作表2!A28:BG32,28,FALSE)</f>
        <v>金額</v>
      </c>
      <c r="G62" s="134" t="str">
        <f>VLOOKUP(G61,工作表2!A28:BG32,29,FALSE)</f>
        <v>金額</v>
      </c>
      <c r="H62" s="134" t="str">
        <f>VLOOKUP(H61,工作表2!A28:BG32,30,FALSE)</f>
        <v>金額</v>
      </c>
      <c r="I62" s="134" t="str">
        <f>VLOOKUP(I61,工作表2!A28:BG32,31,FALSE)</f>
        <v>金額</v>
      </c>
      <c r="J62" s="134" t="str">
        <f>VLOOKUP(J61,工作表2!A28:BG32,32,FALSE)</f>
        <v>金額</v>
      </c>
      <c r="K62" s="134" t="str">
        <f>VLOOKUP(K61,工作表2!A28:BG32,33,FALSE)</f>
        <v>金額</v>
      </c>
      <c r="L62" s="134" t="str">
        <f>VLOOKUP(L61,工作表2!A28:BG32,34,FALSE)</f>
        <v>金額</v>
      </c>
      <c r="M62" s="134" t="str">
        <f>VLOOKUP(M61,工作表2!A38:G42,4,FALSE)</f>
        <v>金額</v>
      </c>
      <c r="N62" s="323" t="str">
        <f>VLOOKUP(N61,工作表2!A38:G42,5,FALSE)</f>
        <v>金額</v>
      </c>
      <c r="O62" s="181" t="str">
        <f>VLOOKUP(O61,工作表2!A28:BG32,35,FALSE)</f>
        <v>金額</v>
      </c>
      <c r="P62" s="134" t="str">
        <f>VLOOKUP(P61,工作表2!A28:BG32,36,FALSE)</f>
        <v>金額</v>
      </c>
      <c r="Q62" s="136" t="str">
        <f>VLOOKUP(Q61,工作表2!A28:BG32,37,FALSE)</f>
        <v>金額</v>
      </c>
      <c r="R62" s="512"/>
      <c r="S62" s="515"/>
      <c r="U62"/>
    </row>
    <row r="63" spans="1:34" ht="21" customHeight="1">
      <c r="A63" s="428"/>
      <c r="B63" s="233" t="s">
        <v>152</v>
      </c>
      <c r="C63" s="500">
        <v>0</v>
      </c>
      <c r="D63" s="501"/>
      <c r="E63" s="306"/>
      <c r="F63" s="306"/>
      <c r="G63" s="306"/>
      <c r="H63" s="306"/>
      <c r="I63" s="306"/>
      <c r="J63" s="306"/>
      <c r="K63" s="306"/>
      <c r="L63" s="306"/>
      <c r="M63" s="306"/>
      <c r="N63" s="324"/>
      <c r="O63" s="305"/>
      <c r="P63" s="306"/>
      <c r="Q63" s="307"/>
      <c r="R63" s="512"/>
      <c r="S63" s="515"/>
      <c r="U63"/>
    </row>
    <row r="64" spans="1:34" ht="21" customHeight="1">
      <c r="A64" s="428"/>
      <c r="B64" s="233" t="s">
        <v>257</v>
      </c>
      <c r="C64" s="500">
        <v>0</v>
      </c>
      <c r="D64" s="501"/>
      <c r="E64" s="306"/>
      <c r="F64" s="306"/>
      <c r="G64" s="306"/>
      <c r="H64" s="306"/>
      <c r="I64" s="306"/>
      <c r="J64" s="306"/>
      <c r="K64" s="306"/>
      <c r="L64" s="306"/>
      <c r="M64" s="306"/>
      <c r="N64" s="324"/>
      <c r="O64" s="305"/>
      <c r="P64" s="306"/>
      <c r="Q64" s="307"/>
      <c r="R64" s="512"/>
      <c r="S64" s="515"/>
      <c r="U64"/>
    </row>
    <row r="65" spans="1:21" ht="21" customHeight="1">
      <c r="A65" s="428"/>
      <c r="B65" s="232" t="s">
        <v>153</v>
      </c>
      <c r="C65" s="500">
        <v>0</v>
      </c>
      <c r="D65" s="501"/>
      <c r="E65" s="164">
        <f>IF((E63-E64)&lt;0,0,(E63-E64))</f>
        <v>0</v>
      </c>
      <c r="F65" s="164">
        <f>IF((F63-F64)&lt;0,0,(F63-F64))</f>
        <v>0</v>
      </c>
      <c r="G65" s="164">
        <f t="shared" ref="G65:Q65" si="12">IF((G63-G64)&lt;0,0,(G63-G64))</f>
        <v>0</v>
      </c>
      <c r="H65" s="164">
        <f t="shared" si="12"/>
        <v>0</v>
      </c>
      <c r="I65" s="164">
        <f t="shared" si="12"/>
        <v>0</v>
      </c>
      <c r="J65" s="164">
        <f t="shared" si="12"/>
        <v>0</v>
      </c>
      <c r="K65" s="164">
        <f t="shared" si="12"/>
        <v>0</v>
      </c>
      <c r="L65" s="164">
        <f>IF((L63-L64)&lt;0,0,(L63-L64))</f>
        <v>0</v>
      </c>
      <c r="M65" s="164">
        <f t="shared" si="12"/>
        <v>0</v>
      </c>
      <c r="N65" s="325">
        <f t="shared" si="12"/>
        <v>0</v>
      </c>
      <c r="O65" s="182">
        <f t="shared" si="12"/>
        <v>0</v>
      </c>
      <c r="P65" s="164">
        <f t="shared" si="12"/>
        <v>0</v>
      </c>
      <c r="Q65" s="184">
        <f t="shared" si="12"/>
        <v>0</v>
      </c>
      <c r="R65" s="512"/>
      <c r="S65" s="515"/>
      <c r="U65"/>
    </row>
    <row r="66" spans="1:21" ht="21" customHeight="1">
      <c r="A66" s="429"/>
      <c r="B66" s="232" t="s">
        <v>150</v>
      </c>
      <c r="C66" s="500">
        <v>0</v>
      </c>
      <c r="D66" s="501"/>
      <c r="E66" s="165" t="e">
        <f>E62*E65</f>
        <v>#VALUE!</v>
      </c>
      <c r="F66" s="165" t="e">
        <f>F62*F65</f>
        <v>#VALUE!</v>
      </c>
      <c r="G66" s="165" t="e">
        <f t="shared" ref="G66:Q66" si="13">G62*G65</f>
        <v>#VALUE!</v>
      </c>
      <c r="H66" s="165" t="e">
        <f t="shared" si="13"/>
        <v>#VALUE!</v>
      </c>
      <c r="I66" s="165" t="e">
        <f t="shared" si="13"/>
        <v>#VALUE!</v>
      </c>
      <c r="J66" s="165" t="e">
        <f t="shared" si="13"/>
        <v>#VALUE!</v>
      </c>
      <c r="K66" s="165" t="e">
        <f t="shared" si="13"/>
        <v>#VALUE!</v>
      </c>
      <c r="L66" s="165" t="e">
        <f t="shared" si="13"/>
        <v>#VALUE!</v>
      </c>
      <c r="M66" s="165" t="e">
        <f t="shared" si="13"/>
        <v>#VALUE!</v>
      </c>
      <c r="N66" s="326" t="e">
        <f t="shared" si="13"/>
        <v>#VALUE!</v>
      </c>
      <c r="O66" s="183" t="e">
        <f t="shared" si="13"/>
        <v>#VALUE!</v>
      </c>
      <c r="P66" s="165" t="e">
        <f t="shared" si="13"/>
        <v>#VALUE!</v>
      </c>
      <c r="Q66" s="185" t="e">
        <f t="shared" si="13"/>
        <v>#VALUE!</v>
      </c>
      <c r="R66" s="513"/>
      <c r="S66" s="516"/>
      <c r="U66"/>
    </row>
    <row r="67" spans="1:21" ht="21" customHeight="1">
      <c r="A67" s="430" t="s">
        <v>59</v>
      </c>
      <c r="B67" s="232" t="s">
        <v>68</v>
      </c>
      <c r="C67" s="500">
        <v>0</v>
      </c>
      <c r="D67" s="501"/>
      <c r="E67" s="309" t="str">
        <f t="shared" ref="E67:Q67" si="14">E22</f>
        <v>版本</v>
      </c>
      <c r="F67" s="309" t="str">
        <f t="shared" si="14"/>
        <v>版本</v>
      </c>
      <c r="G67" s="309" t="str">
        <f t="shared" si="14"/>
        <v>版本</v>
      </c>
      <c r="H67" s="309" t="str">
        <f t="shared" si="14"/>
        <v>版本</v>
      </c>
      <c r="I67" s="309" t="str">
        <f t="shared" si="14"/>
        <v>版本</v>
      </c>
      <c r="J67" s="309" t="str">
        <f t="shared" si="14"/>
        <v>版本</v>
      </c>
      <c r="K67" s="309" t="str">
        <f t="shared" si="14"/>
        <v>版本</v>
      </c>
      <c r="L67" s="309" t="str">
        <f t="shared" si="14"/>
        <v>版本</v>
      </c>
      <c r="M67" s="309" t="str">
        <f t="shared" si="14"/>
        <v>版本</v>
      </c>
      <c r="N67" s="322" t="str">
        <f t="shared" si="14"/>
        <v>版本</v>
      </c>
      <c r="O67" s="311" t="str">
        <f t="shared" si="14"/>
        <v>版本</v>
      </c>
      <c r="P67" s="309" t="str">
        <f t="shared" si="14"/>
        <v>版本</v>
      </c>
      <c r="Q67" s="312" t="str">
        <f t="shared" si="14"/>
        <v>版本</v>
      </c>
      <c r="R67" s="511">
        <f>SUM(E71:Q71)</f>
        <v>0</v>
      </c>
      <c r="S67" s="514" t="e">
        <f>SUM(E72:Q72)</f>
        <v>#VALUE!</v>
      </c>
      <c r="U67"/>
    </row>
    <row r="68" spans="1:21" ht="21" customHeight="1">
      <c r="A68" s="431"/>
      <c r="B68" s="232" t="s">
        <v>70</v>
      </c>
      <c r="C68" s="500">
        <v>0</v>
      </c>
      <c r="D68" s="501"/>
      <c r="E68" s="134" t="str">
        <f>VLOOKUP(E67,工作表2!A28:BG32,38,FALSE)</f>
        <v>金額</v>
      </c>
      <c r="F68" s="134" t="str">
        <f>VLOOKUP(F67,工作表2!A28:BG32,39,FALSE)</f>
        <v>金額</v>
      </c>
      <c r="G68" s="134" t="str">
        <f>VLOOKUP(G67,工作表2!A28:BG32,40,FALSE)</f>
        <v>金額</v>
      </c>
      <c r="H68" s="134" t="str">
        <f>VLOOKUP(H67,工作表2!A28:BG32,41,FALSE)</f>
        <v>金額</v>
      </c>
      <c r="I68" s="134" t="str">
        <f>VLOOKUP(I67,工作表2!A28:BG32,42,FALSE)</f>
        <v>金額</v>
      </c>
      <c r="J68" s="134" t="str">
        <f>VLOOKUP(J67,工作表2!A28:BG32,43,FALSE)</f>
        <v>金額</v>
      </c>
      <c r="K68" s="134" t="str">
        <f>VLOOKUP(K67,工作表2!A28:BG32,44,FALSE)</f>
        <v>金額</v>
      </c>
      <c r="L68" s="134" t="str">
        <f>VLOOKUP(L67,工作表2!A28:BG32,45,FALSE)</f>
        <v>金額</v>
      </c>
      <c r="M68" s="134" t="str">
        <f>VLOOKUP(M67,工作表2!A38:G42,6,FALSE)</f>
        <v>金額</v>
      </c>
      <c r="N68" s="323" t="str">
        <f>VLOOKUP(N67,工作表2!A38:G42,7,FALSE)</f>
        <v>金額</v>
      </c>
      <c r="O68" s="181" t="str">
        <f>VLOOKUP(O67,工作表2!A28:BG32,46,FALSE)</f>
        <v>金額</v>
      </c>
      <c r="P68" s="134" t="str">
        <f>VLOOKUP(P67,工作表2!A28:BG32,47,FALSE)</f>
        <v>金額</v>
      </c>
      <c r="Q68" s="136" t="str">
        <f>VLOOKUP(Q67,工作表2!A28:BG32,48,FALSE)</f>
        <v>金額</v>
      </c>
      <c r="R68" s="512"/>
      <c r="S68" s="515"/>
      <c r="U68"/>
    </row>
    <row r="69" spans="1:21" ht="21" customHeight="1">
      <c r="A69" s="431"/>
      <c r="B69" s="233" t="s">
        <v>152</v>
      </c>
      <c r="C69" s="500">
        <v>0</v>
      </c>
      <c r="D69" s="501"/>
      <c r="E69" s="306"/>
      <c r="F69" s="306"/>
      <c r="G69" s="306"/>
      <c r="H69" s="306"/>
      <c r="I69" s="306"/>
      <c r="J69" s="306"/>
      <c r="K69" s="306"/>
      <c r="L69" s="306"/>
      <c r="M69" s="306"/>
      <c r="N69" s="324"/>
      <c r="O69" s="305"/>
      <c r="P69" s="306"/>
      <c r="Q69" s="307"/>
      <c r="R69" s="512"/>
      <c r="S69" s="515"/>
      <c r="U69"/>
    </row>
    <row r="70" spans="1:21" ht="21" customHeight="1">
      <c r="A70" s="431"/>
      <c r="B70" s="233" t="s">
        <v>257</v>
      </c>
      <c r="C70" s="500">
        <v>0</v>
      </c>
      <c r="D70" s="501"/>
      <c r="E70" s="306"/>
      <c r="F70" s="306"/>
      <c r="G70" s="306"/>
      <c r="H70" s="306"/>
      <c r="I70" s="306"/>
      <c r="J70" s="306"/>
      <c r="K70" s="306"/>
      <c r="L70" s="306"/>
      <c r="M70" s="306"/>
      <c r="N70" s="324"/>
      <c r="O70" s="305"/>
      <c r="P70" s="306"/>
      <c r="Q70" s="307"/>
      <c r="R70" s="512"/>
      <c r="S70" s="515"/>
      <c r="U70"/>
    </row>
    <row r="71" spans="1:21" ht="21" customHeight="1">
      <c r="A71" s="431"/>
      <c r="B71" s="232" t="s">
        <v>153</v>
      </c>
      <c r="C71" s="500">
        <v>0</v>
      </c>
      <c r="D71" s="501"/>
      <c r="E71" s="164">
        <f>IF((E69-E70)&lt;0,0,(E69-E70))</f>
        <v>0</v>
      </c>
      <c r="F71" s="164">
        <f>IF((F69-F70)&lt;0,0,(F69-F70))</f>
        <v>0</v>
      </c>
      <c r="G71" s="164">
        <f t="shared" ref="G71:Q71" si="15">IF((G69-G70)&lt;0,0,(G69-G70))</f>
        <v>0</v>
      </c>
      <c r="H71" s="164">
        <f t="shared" si="15"/>
        <v>0</v>
      </c>
      <c r="I71" s="164">
        <f t="shared" si="15"/>
        <v>0</v>
      </c>
      <c r="J71" s="164">
        <f t="shared" si="15"/>
        <v>0</v>
      </c>
      <c r="K71" s="164">
        <f t="shared" si="15"/>
        <v>0</v>
      </c>
      <c r="L71" s="164">
        <f t="shared" si="15"/>
        <v>0</v>
      </c>
      <c r="M71" s="164">
        <f t="shared" si="15"/>
        <v>0</v>
      </c>
      <c r="N71" s="325">
        <f t="shared" si="15"/>
        <v>0</v>
      </c>
      <c r="O71" s="182">
        <f t="shared" si="15"/>
        <v>0</v>
      </c>
      <c r="P71" s="164">
        <f t="shared" si="15"/>
        <v>0</v>
      </c>
      <c r="Q71" s="184">
        <f t="shared" si="15"/>
        <v>0</v>
      </c>
      <c r="R71" s="512"/>
      <c r="S71" s="515"/>
      <c r="U71"/>
    </row>
    <row r="72" spans="1:21" ht="21" customHeight="1">
      <c r="A72" s="432"/>
      <c r="B72" s="232" t="s">
        <v>150</v>
      </c>
      <c r="C72" s="500">
        <v>0</v>
      </c>
      <c r="D72" s="501"/>
      <c r="E72" s="165" t="e">
        <f>E68*E71</f>
        <v>#VALUE!</v>
      </c>
      <c r="F72" s="165" t="e">
        <f>F68*F71</f>
        <v>#VALUE!</v>
      </c>
      <c r="G72" s="165" t="e">
        <f t="shared" ref="G72:Q72" si="16">G68*G71</f>
        <v>#VALUE!</v>
      </c>
      <c r="H72" s="165" t="e">
        <f t="shared" si="16"/>
        <v>#VALUE!</v>
      </c>
      <c r="I72" s="165" t="e">
        <f t="shared" si="16"/>
        <v>#VALUE!</v>
      </c>
      <c r="J72" s="165" t="e">
        <f t="shared" si="16"/>
        <v>#VALUE!</v>
      </c>
      <c r="K72" s="165" t="e">
        <f t="shared" si="16"/>
        <v>#VALUE!</v>
      </c>
      <c r="L72" s="165" t="e">
        <f t="shared" si="16"/>
        <v>#VALUE!</v>
      </c>
      <c r="M72" s="165" t="e">
        <f t="shared" si="16"/>
        <v>#VALUE!</v>
      </c>
      <c r="N72" s="326" t="e">
        <f t="shared" si="16"/>
        <v>#VALUE!</v>
      </c>
      <c r="O72" s="183" t="e">
        <f t="shared" si="16"/>
        <v>#VALUE!</v>
      </c>
      <c r="P72" s="165" t="e">
        <f t="shared" si="16"/>
        <v>#VALUE!</v>
      </c>
      <c r="Q72" s="185" t="e">
        <f t="shared" si="16"/>
        <v>#VALUE!</v>
      </c>
      <c r="R72" s="513"/>
      <c r="S72" s="516"/>
      <c r="U72"/>
    </row>
    <row r="73" spans="1:21" ht="21" customHeight="1">
      <c r="A73" s="427" t="s">
        <v>60</v>
      </c>
      <c r="B73" s="232" t="s">
        <v>68</v>
      </c>
      <c r="C73" s="500">
        <v>0</v>
      </c>
      <c r="D73" s="501"/>
      <c r="E73" s="309" t="str">
        <f t="shared" ref="E73:Q73" si="17">E24</f>
        <v>版本</v>
      </c>
      <c r="F73" s="309" t="str">
        <f t="shared" si="17"/>
        <v>版本</v>
      </c>
      <c r="G73" s="309" t="str">
        <f t="shared" si="17"/>
        <v>版本</v>
      </c>
      <c r="H73" s="309" t="str">
        <f t="shared" si="17"/>
        <v>版本</v>
      </c>
      <c r="I73" s="309" t="str">
        <f t="shared" si="17"/>
        <v>版本</v>
      </c>
      <c r="J73" s="309" t="str">
        <f t="shared" si="17"/>
        <v>版本</v>
      </c>
      <c r="K73" s="309" t="str">
        <f t="shared" si="17"/>
        <v>版本</v>
      </c>
      <c r="L73" s="309" t="str">
        <f t="shared" si="17"/>
        <v>版本</v>
      </c>
      <c r="M73" s="309" t="str">
        <f t="shared" si="17"/>
        <v>版本</v>
      </c>
      <c r="N73" s="322" t="str">
        <f t="shared" si="17"/>
        <v>版本</v>
      </c>
      <c r="O73" s="311" t="str">
        <f t="shared" si="17"/>
        <v>版本</v>
      </c>
      <c r="P73" s="309" t="str">
        <f t="shared" si="17"/>
        <v>版本</v>
      </c>
      <c r="Q73" s="312" t="str">
        <f t="shared" si="17"/>
        <v>版本</v>
      </c>
      <c r="R73" s="511">
        <f>SUM(E77:Q77)</f>
        <v>0</v>
      </c>
      <c r="S73" s="514" t="e">
        <f>SUM(E78:Q78)</f>
        <v>#VALUE!</v>
      </c>
      <c r="U73"/>
    </row>
    <row r="74" spans="1:21" ht="21" customHeight="1">
      <c r="A74" s="428"/>
      <c r="B74" s="232" t="s">
        <v>70</v>
      </c>
      <c r="C74" s="500">
        <v>0</v>
      </c>
      <c r="D74" s="501"/>
      <c r="E74" s="134" t="str">
        <f>VLOOKUP(E73,工作表2!A28:BG32,49,FALSE)</f>
        <v>金額</v>
      </c>
      <c r="F74" s="134" t="str">
        <f>VLOOKUP(F73,工作表2!A28:BG32,50,FALSE)</f>
        <v>金額</v>
      </c>
      <c r="G74" s="134" t="str">
        <f>VLOOKUP(G73,工作表2!A28:BG32,51,FALSE)</f>
        <v>金額</v>
      </c>
      <c r="H74" s="134" t="str">
        <f>VLOOKUP(H73,工作表2!A28:BG32,52,FALSE)</f>
        <v>金額</v>
      </c>
      <c r="I74" s="134" t="str">
        <f>VLOOKUP(I73,工作表2!A28:BG32,53,FALSE)</f>
        <v>金額</v>
      </c>
      <c r="J74" s="134" t="str">
        <f>VLOOKUP(J73,工作表2!A28:BG32,54,FALSE)</f>
        <v>金額</v>
      </c>
      <c r="K74" s="134" t="str">
        <f>VLOOKUP(K73,工作表2!A28:BG32,55,FALSE)</f>
        <v>金額</v>
      </c>
      <c r="L74" s="134" t="str">
        <f>VLOOKUP(L73,工作表2!A28:BG32,56,FALSE)</f>
        <v>金額</v>
      </c>
      <c r="M74" s="134" t="e">
        <f>VLOOKUP(M73,工作表2!H38:I42,2,FALSE)</f>
        <v>#N/A</v>
      </c>
      <c r="N74" s="323" t="e">
        <f>VLOOKUP(N73,工作表2!H38:I42,3,FALSE)</f>
        <v>#N/A</v>
      </c>
      <c r="O74" s="181" t="str">
        <f>VLOOKUP(O73,工作表2!A28:BG32,57,FALSE)</f>
        <v>金額</v>
      </c>
      <c r="P74" s="134" t="str">
        <f>VLOOKUP(P73,工作表2!A28:BG32,58,FALSE)</f>
        <v>金額</v>
      </c>
      <c r="Q74" s="136" t="str">
        <f>VLOOKUP(Q73,工作表2!A28:BG32,59,FALSE)</f>
        <v>金額</v>
      </c>
      <c r="R74" s="512"/>
      <c r="S74" s="515"/>
      <c r="U74"/>
    </row>
    <row r="75" spans="1:21" ht="21" customHeight="1">
      <c r="A75" s="428"/>
      <c r="B75" s="233" t="s">
        <v>152</v>
      </c>
      <c r="C75" s="500">
        <v>0</v>
      </c>
      <c r="D75" s="501"/>
      <c r="E75" s="306"/>
      <c r="F75" s="306"/>
      <c r="G75" s="306"/>
      <c r="H75" s="306"/>
      <c r="I75" s="306"/>
      <c r="J75" s="306"/>
      <c r="K75" s="306"/>
      <c r="L75" s="306"/>
      <c r="M75" s="306"/>
      <c r="N75" s="324"/>
      <c r="O75" s="305"/>
      <c r="P75" s="306"/>
      <c r="Q75" s="307"/>
      <c r="R75" s="512"/>
      <c r="S75" s="515"/>
      <c r="U75"/>
    </row>
    <row r="76" spans="1:21" ht="21" customHeight="1">
      <c r="A76" s="428"/>
      <c r="B76" s="233" t="s">
        <v>257</v>
      </c>
      <c r="C76" s="500">
        <v>0</v>
      </c>
      <c r="D76" s="501"/>
      <c r="E76" s="306"/>
      <c r="F76" s="306"/>
      <c r="G76" s="306"/>
      <c r="H76" s="306"/>
      <c r="I76" s="306"/>
      <c r="J76" s="306"/>
      <c r="K76" s="306"/>
      <c r="L76" s="306"/>
      <c r="M76" s="306"/>
      <c r="N76" s="324"/>
      <c r="O76" s="305"/>
      <c r="P76" s="306"/>
      <c r="Q76" s="307"/>
      <c r="R76" s="512"/>
      <c r="S76" s="515"/>
      <c r="U76"/>
    </row>
    <row r="77" spans="1:21" ht="21" customHeight="1">
      <c r="A77" s="428"/>
      <c r="B77" s="232" t="s">
        <v>153</v>
      </c>
      <c r="C77" s="500">
        <v>0</v>
      </c>
      <c r="D77" s="501"/>
      <c r="E77" s="164">
        <f>IF((E75-E76)&lt;0,0,(E75-E76))</f>
        <v>0</v>
      </c>
      <c r="F77" s="164">
        <f>IF((F75-F76)&lt;0,0,(F75-F76))</f>
        <v>0</v>
      </c>
      <c r="G77" s="164">
        <f t="shared" ref="G77:Q77" si="18">IF((G75-G76)&lt;0,0,(G75-G76))</f>
        <v>0</v>
      </c>
      <c r="H77" s="164">
        <f t="shared" si="18"/>
        <v>0</v>
      </c>
      <c r="I77" s="164">
        <f t="shared" si="18"/>
        <v>0</v>
      </c>
      <c r="J77" s="164">
        <f t="shared" si="18"/>
        <v>0</v>
      </c>
      <c r="K77" s="164">
        <f t="shared" si="18"/>
        <v>0</v>
      </c>
      <c r="L77" s="164">
        <f t="shared" si="18"/>
        <v>0</v>
      </c>
      <c r="M77" s="164">
        <f t="shared" si="18"/>
        <v>0</v>
      </c>
      <c r="N77" s="325">
        <f t="shared" si="18"/>
        <v>0</v>
      </c>
      <c r="O77" s="182">
        <f t="shared" si="18"/>
        <v>0</v>
      </c>
      <c r="P77" s="164">
        <f t="shared" si="18"/>
        <v>0</v>
      </c>
      <c r="Q77" s="184">
        <f t="shared" si="18"/>
        <v>0</v>
      </c>
      <c r="R77" s="512"/>
      <c r="S77" s="515"/>
      <c r="U77"/>
    </row>
    <row r="78" spans="1:21" ht="21" customHeight="1" thickBot="1">
      <c r="A78" s="526"/>
      <c r="B78" s="234" t="s">
        <v>150</v>
      </c>
      <c r="C78" s="502">
        <v>0</v>
      </c>
      <c r="D78" s="503"/>
      <c r="E78" s="186" t="e">
        <f>E74*E77</f>
        <v>#VALUE!</v>
      </c>
      <c r="F78" s="186" t="e">
        <f>F74*F77</f>
        <v>#VALUE!</v>
      </c>
      <c r="G78" s="186" t="e">
        <f t="shared" ref="G78:Q78" si="19">G74*G77</f>
        <v>#VALUE!</v>
      </c>
      <c r="H78" s="186" t="e">
        <f t="shared" si="19"/>
        <v>#VALUE!</v>
      </c>
      <c r="I78" s="186" t="e">
        <f t="shared" si="19"/>
        <v>#VALUE!</v>
      </c>
      <c r="J78" s="186" t="e">
        <f t="shared" si="19"/>
        <v>#VALUE!</v>
      </c>
      <c r="K78" s="186" t="e">
        <f t="shared" si="19"/>
        <v>#VALUE!</v>
      </c>
      <c r="L78" s="186" t="e">
        <f t="shared" si="19"/>
        <v>#VALUE!</v>
      </c>
      <c r="M78" s="186" t="e">
        <f t="shared" si="19"/>
        <v>#N/A</v>
      </c>
      <c r="N78" s="327" t="e">
        <f t="shared" si="19"/>
        <v>#N/A</v>
      </c>
      <c r="O78" s="193" t="e">
        <f t="shared" si="19"/>
        <v>#VALUE!</v>
      </c>
      <c r="P78" s="186" t="e">
        <f t="shared" si="19"/>
        <v>#VALUE!</v>
      </c>
      <c r="Q78" s="187" t="e">
        <f t="shared" si="19"/>
        <v>#VALUE!</v>
      </c>
      <c r="R78" s="529"/>
      <c r="S78" s="530"/>
      <c r="U78"/>
    </row>
    <row r="79" spans="1:21" ht="35.25" customHeight="1" thickBot="1">
      <c r="A79" s="527" t="s">
        <v>258</v>
      </c>
      <c r="B79" s="528"/>
      <c r="C79" s="528"/>
      <c r="D79" s="528"/>
      <c r="E79" s="528"/>
      <c r="F79" s="528"/>
      <c r="G79" s="528"/>
      <c r="H79" s="528"/>
      <c r="I79" s="528"/>
      <c r="J79" s="528"/>
      <c r="K79" s="528"/>
      <c r="L79" s="528"/>
      <c r="M79" s="528"/>
      <c r="N79" s="528"/>
      <c r="O79" s="528"/>
      <c r="P79" s="528"/>
      <c r="Q79" s="528"/>
      <c r="R79" s="199" t="s">
        <v>9</v>
      </c>
      <c r="S79" s="200" t="e">
        <f>SUM(S43:S78)</f>
        <v>#VALUE!</v>
      </c>
      <c r="T79"/>
      <c r="U79"/>
    </row>
    <row r="81" spans="1:34" ht="15" thickBot="1"/>
    <row r="82" spans="1:34" ht="34.5" customHeight="1" thickBot="1">
      <c r="A82" s="437" t="s">
        <v>246</v>
      </c>
      <c r="B82" s="438"/>
      <c r="C82" s="438"/>
      <c r="D82" s="438"/>
      <c r="E82" s="438"/>
      <c r="F82" s="438"/>
      <c r="G82" s="438"/>
      <c r="H82" s="438"/>
      <c r="I82" s="438"/>
      <c r="J82" s="438"/>
      <c r="K82" s="438"/>
      <c r="L82" s="438"/>
      <c r="M82" s="438"/>
      <c r="N82" s="438"/>
      <c r="O82" s="438"/>
      <c r="P82" s="438"/>
      <c r="Q82" s="438"/>
      <c r="R82" s="438"/>
      <c r="S82" s="438"/>
      <c r="T82" s="438"/>
      <c r="U82" s="439"/>
      <c r="AA82" s="358" t="s">
        <v>138</v>
      </c>
      <c r="AB82" s="473"/>
      <c r="AC82" s="473"/>
      <c r="AD82" s="473"/>
    </row>
    <row r="83" spans="1:34" ht="33" customHeight="1">
      <c r="A83" s="387" t="s">
        <v>157</v>
      </c>
      <c r="B83" s="388"/>
      <c r="C83" s="374" t="s">
        <v>48</v>
      </c>
      <c r="D83" s="375"/>
      <c r="E83" s="384" t="s">
        <v>49</v>
      </c>
      <c r="F83" s="385"/>
      <c r="G83" s="384" t="s">
        <v>50</v>
      </c>
      <c r="H83" s="385"/>
      <c r="I83" s="384" t="s">
        <v>91</v>
      </c>
      <c r="J83" s="385"/>
      <c r="K83" s="424" t="s">
        <v>51</v>
      </c>
      <c r="L83" s="425"/>
      <c r="M83" s="384" t="s">
        <v>52</v>
      </c>
      <c r="N83" s="426"/>
      <c r="O83" s="179" t="s">
        <v>105</v>
      </c>
      <c r="P83" s="195" t="s">
        <v>104</v>
      </c>
      <c r="Q83" s="196" t="s">
        <v>103</v>
      </c>
      <c r="R83" s="422" t="s">
        <v>161</v>
      </c>
      <c r="S83" s="401" t="s">
        <v>160</v>
      </c>
      <c r="T83" s="393" t="s">
        <v>159</v>
      </c>
      <c r="U83" s="397" t="s">
        <v>162</v>
      </c>
      <c r="Z83" s="146"/>
      <c r="AA83" s="148" t="s">
        <v>36</v>
      </c>
      <c r="AB83" s="150" t="s">
        <v>10</v>
      </c>
      <c r="AC83" s="149" t="s">
        <v>11</v>
      </c>
      <c r="AD83" s="151" t="s">
        <v>127</v>
      </c>
      <c r="AE83" s="2"/>
      <c r="AF83" s="2"/>
      <c r="AG83" s="2"/>
      <c r="AH83" s="2"/>
    </row>
    <row r="84" spans="1:34" ht="21" customHeight="1">
      <c r="A84" s="389"/>
      <c r="B84" s="390"/>
      <c r="C84" s="166" t="s">
        <v>53</v>
      </c>
      <c r="D84" s="167" t="s">
        <v>54</v>
      </c>
      <c r="E84" s="167" t="s">
        <v>53</v>
      </c>
      <c r="F84" s="167" t="s">
        <v>54</v>
      </c>
      <c r="G84" s="167" t="s">
        <v>53</v>
      </c>
      <c r="H84" s="167" t="s">
        <v>54</v>
      </c>
      <c r="I84" s="167" t="s">
        <v>53</v>
      </c>
      <c r="J84" s="167" t="s">
        <v>54</v>
      </c>
      <c r="K84" s="167" t="s">
        <v>53</v>
      </c>
      <c r="L84" s="167" t="s">
        <v>54</v>
      </c>
      <c r="M84" s="167" t="s">
        <v>53</v>
      </c>
      <c r="N84" s="168" t="s">
        <v>54</v>
      </c>
      <c r="O84" s="166" t="s">
        <v>53</v>
      </c>
      <c r="P84" s="167" t="s">
        <v>53</v>
      </c>
      <c r="Q84" s="168" t="s">
        <v>53</v>
      </c>
      <c r="R84" s="423"/>
      <c r="S84" s="402"/>
      <c r="T84" s="394"/>
      <c r="U84" s="398"/>
      <c r="AA84" s="146" t="s">
        <v>147</v>
      </c>
      <c r="AB84" s="146" t="s">
        <v>147</v>
      </c>
      <c r="AC84" s="146" t="s">
        <v>147</v>
      </c>
      <c r="AD84" s="146" t="s">
        <v>147</v>
      </c>
      <c r="AE84" s="2"/>
      <c r="AF84" s="2"/>
      <c r="AG84" s="2"/>
      <c r="AH84" s="2"/>
    </row>
    <row r="85" spans="1:34" ht="21" customHeight="1">
      <c r="A85" s="372" t="s">
        <v>55</v>
      </c>
      <c r="B85" s="197" t="s">
        <v>154</v>
      </c>
      <c r="C85" s="166" t="str">
        <f t="shared" ref="C85:H85" si="20">C14</f>
        <v>版本</v>
      </c>
      <c r="D85" s="167" t="str">
        <f t="shared" si="20"/>
        <v>版本</v>
      </c>
      <c r="E85" s="167" t="str">
        <f t="shared" si="20"/>
        <v>版本</v>
      </c>
      <c r="F85" s="167" t="str">
        <f t="shared" si="20"/>
        <v>版本</v>
      </c>
      <c r="G85" s="167" t="str">
        <f t="shared" si="20"/>
        <v>版本</v>
      </c>
      <c r="H85" s="167" t="str">
        <f t="shared" si="20"/>
        <v>版本</v>
      </c>
      <c r="I85" s="380">
        <v>0</v>
      </c>
      <c r="J85" s="371"/>
      <c r="K85" s="380">
        <v>0</v>
      </c>
      <c r="L85" s="371"/>
      <c r="M85" s="380">
        <v>0</v>
      </c>
      <c r="N85" s="381"/>
      <c r="O85" s="166" t="str">
        <f>O14</f>
        <v>版本</v>
      </c>
      <c r="P85" s="380">
        <v>0</v>
      </c>
      <c r="Q85" s="381"/>
      <c r="R85" s="382">
        <f>SUM(C86:Q86)</f>
        <v>0</v>
      </c>
      <c r="S85" s="395">
        <f>R85*F9</f>
        <v>0</v>
      </c>
      <c r="T85" s="395">
        <f>R85*F8</f>
        <v>0</v>
      </c>
      <c r="U85" s="391">
        <f>R85*F7</f>
        <v>0</v>
      </c>
      <c r="Z85" s="362" t="s">
        <v>102</v>
      </c>
      <c r="AA85" s="358">
        <f>SUMIF(C85:O85,"康軒",C86:O86)*F7</f>
        <v>0</v>
      </c>
      <c r="AB85" s="358">
        <f>SUMIF(C85:O85,"翰林",C86:O86)*F7</f>
        <v>0</v>
      </c>
      <c r="AC85" s="358">
        <f>SUMIF(C85:O85,"南一",C86:O86)*F7</f>
        <v>0</v>
      </c>
      <c r="AD85" s="359"/>
      <c r="AE85" s="2"/>
      <c r="AF85" s="2"/>
      <c r="AG85" s="2"/>
      <c r="AH85" s="2"/>
    </row>
    <row r="86" spans="1:34" ht="21" customHeight="1">
      <c r="A86" s="372"/>
      <c r="B86" s="197" t="s">
        <v>155</v>
      </c>
      <c r="C86" s="169" t="str">
        <f>VLOOKUP(C85,工作表2!$BH$5:$DN$9,2,FALSE)</f>
        <v>金額</v>
      </c>
      <c r="D86" s="170" t="str">
        <f>VLOOKUP(D85,工作表2!$BH$5:$DN$9,3,FALSE)</f>
        <v>金額</v>
      </c>
      <c r="E86" s="170" t="str">
        <f>VLOOKUP(E85,工作表2!$BH$5:$DN$9,4,FALSE)</f>
        <v>金額</v>
      </c>
      <c r="F86" s="170" t="str">
        <f>VLOOKUP(F85,工作表2!$BH$5:$DN$9,5,FALSE)</f>
        <v>金額</v>
      </c>
      <c r="G86" s="170" t="str">
        <f>VLOOKUP(G85,工作表2!$BH$5:$DN$9,6,FALSE)</f>
        <v>金額</v>
      </c>
      <c r="H86" s="170" t="str">
        <f>VLOOKUP(H85,工作表2!$BH$5:$DN$9,7,FALSE)</f>
        <v>金額</v>
      </c>
      <c r="I86" s="380">
        <v>0</v>
      </c>
      <c r="J86" s="371"/>
      <c r="K86" s="380">
        <v>0</v>
      </c>
      <c r="L86" s="371"/>
      <c r="M86" s="380">
        <v>0</v>
      </c>
      <c r="N86" s="381"/>
      <c r="O86" s="169" t="str">
        <f>VLOOKUP(O85,工作表2!$BH$5:$DN$9,8,FALSE)</f>
        <v>金額</v>
      </c>
      <c r="P86" s="380">
        <v>0</v>
      </c>
      <c r="Q86" s="381"/>
      <c r="R86" s="383">
        <f>SUM(E86:Q86)</f>
        <v>0</v>
      </c>
      <c r="S86" s="396"/>
      <c r="T86" s="396"/>
      <c r="U86" s="399"/>
      <c r="Z86" s="362"/>
      <c r="AA86" s="359"/>
      <c r="AB86" s="358"/>
      <c r="AC86" s="358"/>
      <c r="AD86" s="359"/>
      <c r="AE86" s="2"/>
      <c r="AF86" s="2"/>
      <c r="AG86" s="2"/>
      <c r="AH86" s="2"/>
    </row>
    <row r="87" spans="1:34" ht="21" customHeight="1">
      <c r="A87" s="386" t="s">
        <v>56</v>
      </c>
      <c r="B87" s="197" t="s">
        <v>154</v>
      </c>
      <c r="C87" s="166" t="str">
        <f t="shared" ref="C87:H87" si="21">C16</f>
        <v>版本</v>
      </c>
      <c r="D87" s="167" t="str">
        <f t="shared" si="21"/>
        <v>版本</v>
      </c>
      <c r="E87" s="167" t="str">
        <f t="shared" si="21"/>
        <v>版本</v>
      </c>
      <c r="F87" s="167" t="str">
        <f t="shared" si="21"/>
        <v>版本</v>
      </c>
      <c r="G87" s="167" t="str">
        <f t="shared" si="21"/>
        <v>版本</v>
      </c>
      <c r="H87" s="167" t="str">
        <f t="shared" si="21"/>
        <v>版本</v>
      </c>
      <c r="I87" s="380">
        <v>0</v>
      </c>
      <c r="J87" s="371"/>
      <c r="K87" s="380">
        <v>0</v>
      </c>
      <c r="L87" s="371"/>
      <c r="M87" s="380">
        <v>0</v>
      </c>
      <c r="N87" s="381"/>
      <c r="O87" s="166" t="str">
        <f>O16</f>
        <v>版本</v>
      </c>
      <c r="P87" s="380">
        <v>0</v>
      </c>
      <c r="Q87" s="381"/>
      <c r="R87" s="382">
        <f>SUM(C88:Q88)</f>
        <v>0</v>
      </c>
      <c r="S87" s="395">
        <f>R87*G9</f>
        <v>0</v>
      </c>
      <c r="T87" s="395">
        <f>R87*G8</f>
        <v>0</v>
      </c>
      <c r="U87" s="391">
        <f>R87*G7</f>
        <v>0</v>
      </c>
      <c r="Z87" s="362" t="s">
        <v>101</v>
      </c>
      <c r="AA87" s="358">
        <f>SUMIF(C87:O87,"康軒",C88:O88)*G7</f>
        <v>0</v>
      </c>
      <c r="AB87" s="358">
        <f>SUMIF(C87:O87,"翰林",C88:O88)*G7</f>
        <v>0</v>
      </c>
      <c r="AC87" s="358">
        <f>SUMIF(C87:O87,"南一",C88:O88)*G7</f>
        <v>0</v>
      </c>
      <c r="AD87" s="358"/>
      <c r="AE87" s="2"/>
      <c r="AF87" s="2"/>
      <c r="AG87" s="2"/>
      <c r="AH87" s="2"/>
    </row>
    <row r="88" spans="1:34" ht="21" customHeight="1">
      <c r="A88" s="386"/>
      <c r="B88" s="197" t="s">
        <v>155</v>
      </c>
      <c r="C88" s="169" t="str">
        <f>VLOOKUP(C87,工作表2!$BH$5:$DN$9,9,FALSE)</f>
        <v>金額</v>
      </c>
      <c r="D88" s="170" t="str">
        <f>VLOOKUP(D87,工作表2!$BH$5:$DN$9,10,FALSE)</f>
        <v>金額</v>
      </c>
      <c r="E88" s="170" t="str">
        <f>VLOOKUP(E87,工作表2!$BH$5:$DN$9,11,FALSE)</f>
        <v>金額</v>
      </c>
      <c r="F88" s="170" t="str">
        <f>VLOOKUP(F87,工作表2!$BH$5:$DN$9,12,FALSE)</f>
        <v>金額</v>
      </c>
      <c r="G88" s="170" t="str">
        <f>VLOOKUP(G87,工作表2!$BH$5:$DN$9,13,FALSE)</f>
        <v>金額</v>
      </c>
      <c r="H88" s="170" t="str">
        <f>VLOOKUP(H87,工作表2!$BH$5:$DN$9,14,FALSE)</f>
        <v>金額</v>
      </c>
      <c r="I88" s="380">
        <v>0</v>
      </c>
      <c r="J88" s="371"/>
      <c r="K88" s="380">
        <v>0</v>
      </c>
      <c r="L88" s="371"/>
      <c r="M88" s="380">
        <v>0</v>
      </c>
      <c r="N88" s="381"/>
      <c r="O88" s="169" t="str">
        <f>VLOOKUP(O87,工作表2!$BH$5:$DN$9,15,FALSE)</f>
        <v>金額</v>
      </c>
      <c r="P88" s="380">
        <v>0</v>
      </c>
      <c r="Q88" s="381"/>
      <c r="R88" s="383">
        <f>SUM(E88:Q88)</f>
        <v>0</v>
      </c>
      <c r="S88" s="396"/>
      <c r="T88" s="396"/>
      <c r="U88" s="399"/>
      <c r="Z88" s="362"/>
      <c r="AA88" s="358"/>
      <c r="AB88" s="358"/>
      <c r="AC88" s="358"/>
      <c r="AD88" s="358"/>
      <c r="AE88" s="2"/>
      <c r="AF88" s="2"/>
      <c r="AG88" s="2"/>
      <c r="AH88" s="2"/>
    </row>
    <row r="89" spans="1:34" ht="21" customHeight="1">
      <c r="A89" s="372" t="s">
        <v>57</v>
      </c>
      <c r="B89" s="197" t="s">
        <v>154</v>
      </c>
      <c r="C89" s="370">
        <v>0</v>
      </c>
      <c r="D89" s="371"/>
      <c r="E89" s="167" t="str">
        <f t="shared" ref="E89:Q89" si="22">E18</f>
        <v>版本</v>
      </c>
      <c r="F89" s="167" t="str">
        <f t="shared" si="22"/>
        <v>版本</v>
      </c>
      <c r="G89" s="167" t="str">
        <f t="shared" si="22"/>
        <v>版本</v>
      </c>
      <c r="H89" s="167" t="str">
        <f t="shared" si="22"/>
        <v>版本</v>
      </c>
      <c r="I89" s="167" t="str">
        <f t="shared" si="22"/>
        <v>版本</v>
      </c>
      <c r="J89" s="167" t="str">
        <f t="shared" si="22"/>
        <v>版本</v>
      </c>
      <c r="K89" s="167" t="str">
        <f t="shared" si="22"/>
        <v>版本</v>
      </c>
      <c r="L89" s="167" t="str">
        <f t="shared" si="22"/>
        <v>版本</v>
      </c>
      <c r="M89" s="167" t="str">
        <f t="shared" si="22"/>
        <v>版本</v>
      </c>
      <c r="N89" s="168" t="str">
        <f t="shared" si="22"/>
        <v>版本</v>
      </c>
      <c r="O89" s="166" t="str">
        <f t="shared" si="22"/>
        <v>版本</v>
      </c>
      <c r="P89" s="167" t="str">
        <f t="shared" si="22"/>
        <v>版本</v>
      </c>
      <c r="Q89" s="168" t="str">
        <f t="shared" si="22"/>
        <v>版本</v>
      </c>
      <c r="R89" s="382">
        <f>SUM(C90:Q90)</f>
        <v>0</v>
      </c>
      <c r="S89" s="395">
        <f>R89*H9</f>
        <v>0</v>
      </c>
      <c r="T89" s="395">
        <f>R89*H8</f>
        <v>0</v>
      </c>
      <c r="U89" s="391">
        <f>R89*H7</f>
        <v>0</v>
      </c>
      <c r="Z89" s="362" t="s">
        <v>100</v>
      </c>
      <c r="AA89" s="358">
        <f>SUMIF(E89:Q89,"康軒",E90:Q90)*H7</f>
        <v>0</v>
      </c>
      <c r="AB89" s="358">
        <f>SUMIF(E89:Q89,"翰林",E90:Q90)*H7</f>
        <v>0</v>
      </c>
      <c r="AC89" s="358">
        <f>SUMIF(E89:Q89,"南一",E90:Q90)*H7</f>
        <v>0</v>
      </c>
      <c r="AD89" s="358">
        <f>SUMIF(E89:Q89,"何嘉仁",E90:Q90)*H7</f>
        <v>0</v>
      </c>
      <c r="AE89" s="2"/>
      <c r="AF89" s="2"/>
      <c r="AG89" s="2"/>
      <c r="AH89" s="2"/>
    </row>
    <row r="90" spans="1:34" ht="21" customHeight="1">
      <c r="A90" s="372"/>
      <c r="B90" s="197" t="s">
        <v>155</v>
      </c>
      <c r="C90" s="370">
        <v>0</v>
      </c>
      <c r="D90" s="371"/>
      <c r="E90" s="170" t="str">
        <f>VLOOKUP(E89,工作表2!$BH$5:$DN$9,16,FALSE)</f>
        <v>金額</v>
      </c>
      <c r="F90" s="170" t="str">
        <f>VLOOKUP(F89,工作表2!$BH$5:$DN$9,17,FALSE)</f>
        <v>金額</v>
      </c>
      <c r="G90" s="170" t="str">
        <f>VLOOKUP(G89,工作表2!$BH$5:$DN$9,18,FALSE)</f>
        <v>金額</v>
      </c>
      <c r="H90" s="170" t="str">
        <f>VLOOKUP(H89,工作表2!$BH$5:$DN$9,19,FALSE)</f>
        <v>金額</v>
      </c>
      <c r="I90" s="170" t="str">
        <f>VLOOKUP(I89,工作表2!$BH$5:$DN$9,20,FALSE)</f>
        <v>金額</v>
      </c>
      <c r="J90" s="170" t="str">
        <f>VLOOKUP(J89,工作表2!$BH$5:$DN$9,21,FALSE)</f>
        <v>金額</v>
      </c>
      <c r="K90" s="170" t="str">
        <f>VLOOKUP(K89,工作表2!$BH$5:$DN$9,22,FALSE)</f>
        <v>金額</v>
      </c>
      <c r="L90" s="170" t="str">
        <f>VLOOKUP(L89,工作表2!$BH$5:$DN$9,23,FALSE)</f>
        <v>金額</v>
      </c>
      <c r="M90" s="171" t="str">
        <f>VLOOKUP(M89,工作表2!$A$15:$O$19,8,FALSE)</f>
        <v>金額</v>
      </c>
      <c r="N90" s="172" t="str">
        <f>VLOOKUP(N89,工作表2!$A$15:$O$19,9,FALSE)</f>
        <v>金額</v>
      </c>
      <c r="O90" s="169" t="str">
        <f>VLOOKUP(O89,工作表2!$BH$5:$DN$9,24,FALSE)</f>
        <v>金額</v>
      </c>
      <c r="P90" s="170" t="str">
        <f>VLOOKUP(P89,工作表2!$BH$5:$DN$9,25,FALSE)</f>
        <v>金額</v>
      </c>
      <c r="Q90" s="173" t="str">
        <f>VLOOKUP(Q89,工作表2!$BH$5:$DN$9,26,FALSE)</f>
        <v>金額</v>
      </c>
      <c r="R90" s="383">
        <f>SUM(E90:Q90)</f>
        <v>0</v>
      </c>
      <c r="S90" s="396"/>
      <c r="T90" s="396"/>
      <c r="U90" s="399"/>
      <c r="Z90" s="362"/>
      <c r="AA90" s="358"/>
      <c r="AB90" s="358"/>
      <c r="AC90" s="358"/>
      <c r="AD90" s="358"/>
      <c r="AE90" s="2"/>
      <c r="AF90" s="2"/>
      <c r="AG90" s="2"/>
      <c r="AH90" s="2"/>
    </row>
    <row r="91" spans="1:34" ht="21" customHeight="1">
      <c r="A91" s="372" t="s">
        <v>58</v>
      </c>
      <c r="B91" s="197" t="s">
        <v>154</v>
      </c>
      <c r="C91" s="370">
        <v>0</v>
      </c>
      <c r="D91" s="371"/>
      <c r="E91" s="167" t="str">
        <f t="shared" ref="E91:Q91" si="23">E20</f>
        <v>版本</v>
      </c>
      <c r="F91" s="167" t="str">
        <f t="shared" si="23"/>
        <v>版本</v>
      </c>
      <c r="G91" s="167" t="str">
        <f t="shared" si="23"/>
        <v>版本</v>
      </c>
      <c r="H91" s="167" t="str">
        <f t="shared" si="23"/>
        <v>版本</v>
      </c>
      <c r="I91" s="167" t="str">
        <f t="shared" si="23"/>
        <v>版本</v>
      </c>
      <c r="J91" s="167" t="str">
        <f t="shared" si="23"/>
        <v>版本</v>
      </c>
      <c r="K91" s="167" t="str">
        <f t="shared" si="23"/>
        <v>版本</v>
      </c>
      <c r="L91" s="167" t="str">
        <f t="shared" si="23"/>
        <v>版本</v>
      </c>
      <c r="M91" s="167" t="str">
        <f t="shared" si="23"/>
        <v>版本</v>
      </c>
      <c r="N91" s="168" t="str">
        <f t="shared" si="23"/>
        <v>版本</v>
      </c>
      <c r="O91" s="166" t="str">
        <f t="shared" si="23"/>
        <v>版本</v>
      </c>
      <c r="P91" s="167" t="str">
        <f t="shared" si="23"/>
        <v>版本</v>
      </c>
      <c r="Q91" s="168" t="str">
        <f t="shared" si="23"/>
        <v>版本</v>
      </c>
      <c r="R91" s="382">
        <f>SUM(C92:Q92)</f>
        <v>0</v>
      </c>
      <c r="S91" s="395">
        <f>R91*I9</f>
        <v>0</v>
      </c>
      <c r="T91" s="395">
        <f>R91*I8</f>
        <v>0</v>
      </c>
      <c r="U91" s="391">
        <f>R91*I7</f>
        <v>0</v>
      </c>
      <c r="Z91" s="362" t="s">
        <v>99</v>
      </c>
      <c r="AA91" s="358">
        <f>SUMIF(E91:Q91,"康軒",E92:Q92)*I7</f>
        <v>0</v>
      </c>
      <c r="AB91" s="358">
        <f>SUMIF(E91:Q91,"翰林",E92:Q92)*I7</f>
        <v>0</v>
      </c>
      <c r="AC91" s="358">
        <f>SUMIF(E91:Q91,"南一",E92:Q92)*I7</f>
        <v>0</v>
      </c>
      <c r="AD91" s="358">
        <f>SUMIF(E91:Q91,"何嘉仁",E92:Q92)*I7</f>
        <v>0</v>
      </c>
      <c r="AE91" s="2"/>
      <c r="AF91" s="2"/>
      <c r="AG91" s="2"/>
      <c r="AH91" s="2"/>
    </row>
    <row r="92" spans="1:34" ht="21" customHeight="1">
      <c r="A92" s="372"/>
      <c r="B92" s="197" t="s">
        <v>155</v>
      </c>
      <c r="C92" s="370">
        <v>0</v>
      </c>
      <c r="D92" s="371"/>
      <c r="E92" s="170" t="str">
        <f>VLOOKUP(E91,工作表2!$BH$5:$DN$9,27,FALSE)</f>
        <v>金額</v>
      </c>
      <c r="F92" s="170" t="str">
        <f>VLOOKUP(F91,工作表2!$BH$5:$DN$9,28,FALSE)</f>
        <v>金額</v>
      </c>
      <c r="G92" s="170" t="str">
        <f>VLOOKUP(G91,工作表2!$BH$5:$DN$9,29,FALSE)</f>
        <v>金額</v>
      </c>
      <c r="H92" s="170" t="str">
        <f>VLOOKUP(H91,工作表2!$BH$5:$DN$9,30,FALSE)</f>
        <v>金額</v>
      </c>
      <c r="I92" s="170" t="str">
        <f>VLOOKUP(I91,工作表2!$BH$5:$DN$9,31,FALSE)</f>
        <v>金額</v>
      </c>
      <c r="J92" s="170" t="str">
        <f>VLOOKUP(J91,工作表2!$BH$5:$DN$9,32,FALSE)</f>
        <v>金額</v>
      </c>
      <c r="K92" s="170" t="str">
        <f>VLOOKUP(K91,工作表2!$BH$5:$DN$9,33,FALSE)</f>
        <v>金額</v>
      </c>
      <c r="L92" s="170" t="str">
        <f>VLOOKUP(L91,工作表2!$BH$5:$DN$9,34,FALSE)</f>
        <v>金額</v>
      </c>
      <c r="M92" s="171" t="str">
        <f>VLOOKUP(M91,工作表2!$A$15:$O$19,10,FALSE)</f>
        <v>金額</v>
      </c>
      <c r="N92" s="172" t="str">
        <f>VLOOKUP(N91,工作表2!$A$15:$O$19,11,FALSE)</f>
        <v>金額</v>
      </c>
      <c r="O92" s="169" t="str">
        <f>VLOOKUP(O91,工作表2!$BH$5:$DN$9,35,FALSE)</f>
        <v>金額</v>
      </c>
      <c r="P92" s="170" t="str">
        <f>VLOOKUP(P91,工作表2!$BH$5:$DN$9,36,FALSE)</f>
        <v>金額</v>
      </c>
      <c r="Q92" s="173" t="str">
        <f>VLOOKUP(Q91,工作表2!$BH$5:$DN$9,37,FALSE)</f>
        <v>金額</v>
      </c>
      <c r="R92" s="383">
        <f>SUM(E92:Q92)</f>
        <v>0</v>
      </c>
      <c r="S92" s="396"/>
      <c r="T92" s="396"/>
      <c r="U92" s="399"/>
      <c r="Z92" s="362"/>
      <c r="AA92" s="358"/>
      <c r="AB92" s="358"/>
      <c r="AC92" s="358"/>
      <c r="AD92" s="358"/>
      <c r="AE92" s="2"/>
      <c r="AF92" s="2"/>
      <c r="AG92" s="2"/>
      <c r="AH92" s="2"/>
    </row>
    <row r="93" spans="1:34" ht="21" customHeight="1">
      <c r="A93" s="386" t="s">
        <v>59</v>
      </c>
      <c r="B93" s="197" t="s">
        <v>154</v>
      </c>
      <c r="C93" s="370">
        <v>0</v>
      </c>
      <c r="D93" s="371"/>
      <c r="E93" s="167" t="str">
        <f t="shared" ref="E93:Q93" si="24">E22</f>
        <v>版本</v>
      </c>
      <c r="F93" s="167" t="str">
        <f t="shared" si="24"/>
        <v>版本</v>
      </c>
      <c r="G93" s="167" t="str">
        <f t="shared" si="24"/>
        <v>版本</v>
      </c>
      <c r="H93" s="167" t="str">
        <f t="shared" si="24"/>
        <v>版本</v>
      </c>
      <c r="I93" s="167" t="str">
        <f t="shared" si="24"/>
        <v>版本</v>
      </c>
      <c r="J93" s="167" t="str">
        <f t="shared" si="24"/>
        <v>版本</v>
      </c>
      <c r="K93" s="167" t="str">
        <f t="shared" si="24"/>
        <v>版本</v>
      </c>
      <c r="L93" s="167" t="str">
        <f t="shared" si="24"/>
        <v>版本</v>
      </c>
      <c r="M93" s="167" t="str">
        <f t="shared" si="24"/>
        <v>版本</v>
      </c>
      <c r="N93" s="168" t="str">
        <f t="shared" si="24"/>
        <v>版本</v>
      </c>
      <c r="O93" s="166" t="str">
        <f t="shared" si="24"/>
        <v>版本</v>
      </c>
      <c r="P93" s="167" t="str">
        <f t="shared" si="24"/>
        <v>版本</v>
      </c>
      <c r="Q93" s="168" t="str">
        <f t="shared" si="24"/>
        <v>版本</v>
      </c>
      <c r="R93" s="382">
        <f>SUM(C94:Q94)</f>
        <v>0</v>
      </c>
      <c r="S93" s="395">
        <f>R93*J9</f>
        <v>0</v>
      </c>
      <c r="T93" s="395">
        <f>R93*J8</f>
        <v>0</v>
      </c>
      <c r="U93" s="391">
        <f>R93*J7</f>
        <v>0</v>
      </c>
      <c r="Z93" s="362" t="s">
        <v>98</v>
      </c>
      <c r="AA93" s="358">
        <f>SUMIF(E93:Q93,"康軒",E94:Q94)*J7</f>
        <v>0</v>
      </c>
      <c r="AB93" s="358">
        <f>SUMIF(E93:Q93,"翰林",E94:Q94)*J7</f>
        <v>0</v>
      </c>
      <c r="AC93" s="358">
        <f>SUMIF(E93:Q93,"南一",E94:Q94)*J7</f>
        <v>0</v>
      </c>
      <c r="AD93" s="358">
        <f>SUMIF(E93:Q93,"何嘉仁",E94:Q94)*J7</f>
        <v>0</v>
      </c>
      <c r="AE93" s="2"/>
      <c r="AF93" s="2"/>
      <c r="AG93" s="2"/>
      <c r="AH93" s="2"/>
    </row>
    <row r="94" spans="1:34" ht="21" customHeight="1">
      <c r="A94" s="386"/>
      <c r="B94" s="197" t="s">
        <v>155</v>
      </c>
      <c r="C94" s="370">
        <v>0</v>
      </c>
      <c r="D94" s="371"/>
      <c r="E94" s="170" t="str">
        <f>VLOOKUP(E93,工作表2!$BH$5:$DN$9,38,FALSE)</f>
        <v>金額</v>
      </c>
      <c r="F94" s="170" t="str">
        <f>VLOOKUP(F93,工作表2!$BH$5:$DN$9,39,FALSE)</f>
        <v>金額</v>
      </c>
      <c r="G94" s="170" t="str">
        <f>VLOOKUP(G93,工作表2!$BH$5:$DN$9,40,FALSE)</f>
        <v>金額</v>
      </c>
      <c r="H94" s="170" t="str">
        <f>VLOOKUP(H93,工作表2!$BH$5:$DN$9,41,FALSE)</f>
        <v>金額</v>
      </c>
      <c r="I94" s="170" t="str">
        <f>VLOOKUP(I93,工作表2!$BH$5:$DN$9,42,FALSE)</f>
        <v>金額</v>
      </c>
      <c r="J94" s="170" t="str">
        <f>VLOOKUP(J93,工作表2!$BH$5:$DN$9,43,FALSE)</f>
        <v>金額</v>
      </c>
      <c r="K94" s="170" t="str">
        <f>VLOOKUP(K93,工作表2!$BH$5:$DN$9,44,FALSE)</f>
        <v>金額</v>
      </c>
      <c r="L94" s="170" t="str">
        <f>VLOOKUP(L93,工作表2!$BH$5:$DN$9,45,FALSE)</f>
        <v>金額</v>
      </c>
      <c r="M94" s="171" t="str">
        <f>VLOOKUP(M93,工作表2!$A$15:$O$19,12,FALSE)</f>
        <v>金額</v>
      </c>
      <c r="N94" s="172" t="str">
        <f>VLOOKUP(N93,工作表2!$A$15:$O$19,13,FALSE)</f>
        <v>金額</v>
      </c>
      <c r="O94" s="169" t="str">
        <f>VLOOKUP(O93,工作表2!$BH$5:$DN$9,46,FALSE)</f>
        <v>金額</v>
      </c>
      <c r="P94" s="170" t="str">
        <f>VLOOKUP(P93,工作表2!$BH$5:$DN$9,47,FALSE)</f>
        <v>金額</v>
      </c>
      <c r="Q94" s="173" t="str">
        <f>VLOOKUP(Q93,工作表2!$BH$5:$DN$9,48,FALSE)</f>
        <v>金額</v>
      </c>
      <c r="R94" s="383">
        <f>SUM(E94:Q94)</f>
        <v>0</v>
      </c>
      <c r="S94" s="396"/>
      <c r="T94" s="396"/>
      <c r="U94" s="399"/>
      <c r="Z94" s="362"/>
      <c r="AA94" s="358"/>
      <c r="AB94" s="358"/>
      <c r="AC94" s="358"/>
      <c r="AD94" s="358"/>
      <c r="AE94" s="2"/>
      <c r="AF94" s="146" t="s">
        <v>147</v>
      </c>
      <c r="AG94" s="2"/>
      <c r="AH94" s="146" t="s">
        <v>147</v>
      </c>
    </row>
    <row r="95" spans="1:34" ht="21" customHeight="1">
      <c r="A95" s="372" t="s">
        <v>60</v>
      </c>
      <c r="B95" s="197" t="s">
        <v>154</v>
      </c>
      <c r="C95" s="370">
        <v>0</v>
      </c>
      <c r="D95" s="371"/>
      <c r="E95" s="167" t="str">
        <f t="shared" ref="E95:Q95" si="25">E24</f>
        <v>版本</v>
      </c>
      <c r="F95" s="167" t="str">
        <f t="shared" si="25"/>
        <v>版本</v>
      </c>
      <c r="G95" s="167" t="str">
        <f t="shared" si="25"/>
        <v>版本</v>
      </c>
      <c r="H95" s="167" t="str">
        <f t="shared" si="25"/>
        <v>版本</v>
      </c>
      <c r="I95" s="167" t="str">
        <f t="shared" si="25"/>
        <v>版本</v>
      </c>
      <c r="J95" s="167" t="str">
        <f t="shared" si="25"/>
        <v>版本</v>
      </c>
      <c r="K95" s="167" t="str">
        <f t="shared" si="25"/>
        <v>版本</v>
      </c>
      <c r="L95" s="167" t="str">
        <f t="shared" si="25"/>
        <v>版本</v>
      </c>
      <c r="M95" s="167" t="str">
        <f t="shared" si="25"/>
        <v>版本</v>
      </c>
      <c r="N95" s="168" t="str">
        <f t="shared" si="25"/>
        <v>版本</v>
      </c>
      <c r="O95" s="166" t="str">
        <f t="shared" si="25"/>
        <v>版本</v>
      </c>
      <c r="P95" s="167" t="str">
        <f t="shared" si="25"/>
        <v>版本</v>
      </c>
      <c r="Q95" s="168" t="str">
        <f t="shared" si="25"/>
        <v>版本</v>
      </c>
      <c r="R95" s="382" t="e">
        <f>SUM(C96:Q96)</f>
        <v>#N/A</v>
      </c>
      <c r="S95" s="395" t="e">
        <f>R95*K9</f>
        <v>#N/A</v>
      </c>
      <c r="T95" s="395" t="e">
        <f>R95*K8</f>
        <v>#N/A</v>
      </c>
      <c r="U95" s="391" t="e">
        <f>R95*K7</f>
        <v>#N/A</v>
      </c>
      <c r="Z95" s="362" t="s">
        <v>97</v>
      </c>
      <c r="AA95" s="358">
        <f>SUMIF(E95:Q95,"康軒",E96:Q96)*K7+AF95+AF96</f>
        <v>0</v>
      </c>
      <c r="AB95" s="358">
        <f>SUMIF(E95:Q95,"翰林",E96:Q96)*K7</f>
        <v>0</v>
      </c>
      <c r="AC95" s="358">
        <f>SUMIF(E95:Q95,"南一",E96:Q96)*K7</f>
        <v>0</v>
      </c>
      <c r="AD95" s="358">
        <f>AH95+AH96</f>
        <v>0</v>
      </c>
      <c r="AE95" s="157" t="s">
        <v>148</v>
      </c>
      <c r="AF95" s="146">
        <f>SUMIF(E95:Q95,"康軒 Hello,Kids!",E96:Q96)*K7</f>
        <v>0</v>
      </c>
      <c r="AG95" s="158" t="s">
        <v>145</v>
      </c>
      <c r="AH95" s="146">
        <f>SUMIF(E95:Q95,"何嘉仁 Story.com",E96:Q96)*K7</f>
        <v>0</v>
      </c>
    </row>
    <row r="96" spans="1:34" ht="21" customHeight="1" thickBot="1">
      <c r="A96" s="415"/>
      <c r="B96" s="198" t="s">
        <v>155</v>
      </c>
      <c r="C96" s="413">
        <v>0</v>
      </c>
      <c r="D96" s="414"/>
      <c r="E96" s="174" t="str">
        <f>VLOOKUP(E95,工作表2!$BH$5:$DN$9,49,FALSE)</f>
        <v>金額</v>
      </c>
      <c r="F96" s="174" t="str">
        <f>VLOOKUP(F95,工作表2!$BH$5:$DN$9,50,FALSE)</f>
        <v>金額</v>
      </c>
      <c r="G96" s="174" t="str">
        <f>VLOOKUP(G95,工作表2!$BH$5:$DN$9,51,FALSE)</f>
        <v>金額</v>
      </c>
      <c r="H96" s="174" t="str">
        <f>VLOOKUP(H95,工作表2!$BH$5:$DN$9,52,FALSE)</f>
        <v>金額</v>
      </c>
      <c r="I96" s="174" t="str">
        <f>VLOOKUP(I95,工作表2!$BH$5:$DN$9,53,FALSE)</f>
        <v>金額</v>
      </c>
      <c r="J96" s="174" t="str">
        <f>VLOOKUP(J95,工作表2!$BH$5:$DN$9,54,FALSE)</f>
        <v>金額</v>
      </c>
      <c r="K96" s="174" t="str">
        <f>VLOOKUP(K95,工作表2!$BH$5:$DN$9,55,FALSE)</f>
        <v>金額</v>
      </c>
      <c r="L96" s="174" t="str">
        <f>VLOOKUP(L95,工作表2!$BH$5:$DN$9,56,FALSE)</f>
        <v>金額</v>
      </c>
      <c r="M96" s="175" t="e">
        <f>VLOOKUP(M95,工作表2!$N$12:$R$20,4,FALSE)</f>
        <v>#N/A</v>
      </c>
      <c r="N96" s="176" t="e">
        <f>VLOOKUP(N95,工作表2!$N$12:$R$20,5,FALSE)</f>
        <v>#N/A</v>
      </c>
      <c r="O96" s="177" t="str">
        <f>VLOOKUP(O95,工作表2!$BH$5:$DN$9,57,FALSE)</f>
        <v>金額</v>
      </c>
      <c r="P96" s="174" t="str">
        <f>VLOOKUP(P95,工作表2!$BH$5:$DN$9,58,FALSE)</f>
        <v>金額</v>
      </c>
      <c r="Q96" s="178" t="str">
        <f>VLOOKUP(Q95,工作表2!$BH$5:$DN$9,59,FALSE)</f>
        <v>金額</v>
      </c>
      <c r="R96" s="421" t="e">
        <f>SUM(E96:Q96)</f>
        <v>#N/A</v>
      </c>
      <c r="S96" s="400"/>
      <c r="T96" s="400"/>
      <c r="U96" s="392"/>
      <c r="Z96" s="362"/>
      <c r="AA96" s="358"/>
      <c r="AB96" s="358"/>
      <c r="AC96" s="358"/>
      <c r="AD96" s="358"/>
      <c r="AE96" s="157" t="s">
        <v>144</v>
      </c>
      <c r="AF96" s="146">
        <f>SUMIF(E95:Q95,"康軒 Follow Me.",E96:Q96)*K7</f>
        <v>0</v>
      </c>
      <c r="AG96" s="158" t="s">
        <v>146</v>
      </c>
      <c r="AH96" s="146">
        <f>SUMIF(E95:Q95,"何嘉仁 eSTAR",E96:Q96)*K7</f>
        <v>0</v>
      </c>
    </row>
    <row r="97" spans="1:34" ht="35.25" customHeight="1" thickBot="1">
      <c r="A97" s="517"/>
      <c r="B97" s="518"/>
      <c r="C97" s="518"/>
      <c r="D97" s="518"/>
      <c r="E97" s="518"/>
      <c r="F97" s="518"/>
      <c r="G97" s="518"/>
      <c r="H97" s="518"/>
      <c r="I97" s="518"/>
      <c r="J97" s="518"/>
      <c r="K97" s="518"/>
      <c r="L97" s="518"/>
      <c r="M97" s="518"/>
      <c r="N97" s="518"/>
      <c r="O97" s="518"/>
      <c r="P97" s="518"/>
      <c r="Q97" s="519"/>
      <c r="R97" s="201" t="s">
        <v>9</v>
      </c>
      <c r="S97" s="202" t="e">
        <f>SUM(S85:S96)</f>
        <v>#N/A</v>
      </c>
      <c r="T97" s="202" t="e">
        <f>SUM(T85:T96)</f>
        <v>#N/A</v>
      </c>
      <c r="U97" s="203" t="e">
        <f>SUM(U85:U96)</f>
        <v>#N/A</v>
      </c>
      <c r="Z97" s="144" t="s">
        <v>9</v>
      </c>
      <c r="AA97" s="147">
        <f>SUM(AA85:AA96)</f>
        <v>0</v>
      </c>
      <c r="AB97" s="147">
        <f>SUM(AB85:AB96)</f>
        <v>0</v>
      </c>
      <c r="AC97" s="147">
        <f t="shared" ref="AC97" si="26">SUM(AC85:AC96)</f>
        <v>0</v>
      </c>
      <c r="AD97" s="147">
        <f>SUM(AD85:AD96)</f>
        <v>0</v>
      </c>
      <c r="AE97" s="2"/>
      <c r="AF97" s="2"/>
      <c r="AG97" s="2"/>
      <c r="AH97" s="2"/>
    </row>
  </sheetData>
  <sheetProtection formatCells="0" formatColumns="0" formatRows="0" insertColumns="0" insertRows="0" insertHyperlinks="0" deleteColumns="0" deleteRows="0" selectLockedCells="1" sort="0" autoFilter="0" pivotTables="0"/>
  <mergeCells count="405">
    <mergeCell ref="R73:R78"/>
    <mergeCell ref="S73:S78"/>
    <mergeCell ref="S67:S72"/>
    <mergeCell ref="S61:S66"/>
    <mergeCell ref="S55:S60"/>
    <mergeCell ref="S49:S54"/>
    <mergeCell ref="P54:Q54"/>
    <mergeCell ref="C58:D58"/>
    <mergeCell ref="C64:D64"/>
    <mergeCell ref="C70:D70"/>
    <mergeCell ref="C76:D76"/>
    <mergeCell ref="I52:J52"/>
    <mergeCell ref="K52:L52"/>
    <mergeCell ref="M52:N52"/>
    <mergeCell ref="C57:D57"/>
    <mergeCell ref="C59:D59"/>
    <mergeCell ref="C60:D60"/>
    <mergeCell ref="C61:D61"/>
    <mergeCell ref="C62:D62"/>
    <mergeCell ref="C63:D63"/>
    <mergeCell ref="C65:D65"/>
    <mergeCell ref="C66:D66"/>
    <mergeCell ref="C67:D67"/>
    <mergeCell ref="C68:D68"/>
    <mergeCell ref="R41:R42"/>
    <mergeCell ref="S41:S42"/>
    <mergeCell ref="R43:R48"/>
    <mergeCell ref="S43:S48"/>
    <mergeCell ref="R49:R54"/>
    <mergeCell ref="R55:R60"/>
    <mergeCell ref="R61:R66"/>
    <mergeCell ref="R67:R72"/>
    <mergeCell ref="A97:Q97"/>
    <mergeCell ref="C41:D41"/>
    <mergeCell ref="E41:F41"/>
    <mergeCell ref="G41:H41"/>
    <mergeCell ref="I41:J41"/>
    <mergeCell ref="K41:L41"/>
    <mergeCell ref="M41:N41"/>
    <mergeCell ref="M53:N53"/>
    <mergeCell ref="M54:N54"/>
    <mergeCell ref="K51:L51"/>
    <mergeCell ref="K53:L53"/>
    <mergeCell ref="I53:J53"/>
    <mergeCell ref="A73:A78"/>
    <mergeCell ref="A79:Q79"/>
    <mergeCell ref="C55:D55"/>
    <mergeCell ref="C56:D56"/>
    <mergeCell ref="M43:N43"/>
    <mergeCell ref="M44:N44"/>
    <mergeCell ref="M45:N45"/>
    <mergeCell ref="M47:N47"/>
    <mergeCell ref="I43:J43"/>
    <mergeCell ref="I44:J44"/>
    <mergeCell ref="I45:J45"/>
    <mergeCell ref="I47:J47"/>
    <mergeCell ref="I48:J48"/>
    <mergeCell ref="I46:J46"/>
    <mergeCell ref="K46:L46"/>
    <mergeCell ref="M46:N46"/>
    <mergeCell ref="K43:L43"/>
    <mergeCell ref="K44:L44"/>
    <mergeCell ref="K45:L45"/>
    <mergeCell ref="K47:L47"/>
    <mergeCell ref="K48:L48"/>
    <mergeCell ref="P43:Q43"/>
    <mergeCell ref="P44:Q44"/>
    <mergeCell ref="P45:Q45"/>
    <mergeCell ref="P47:Q47"/>
    <mergeCell ref="P48:Q48"/>
    <mergeCell ref="P49:Q49"/>
    <mergeCell ref="P50:Q50"/>
    <mergeCell ref="P51:Q51"/>
    <mergeCell ref="P53:Q53"/>
    <mergeCell ref="P52:Q52"/>
    <mergeCell ref="P46:Q46"/>
    <mergeCell ref="C74:D74"/>
    <mergeCell ref="C75:D75"/>
    <mergeCell ref="C77:D77"/>
    <mergeCell ref="C78:D78"/>
    <mergeCell ref="I54:J54"/>
    <mergeCell ref="M48:N48"/>
    <mergeCell ref="M49:N49"/>
    <mergeCell ref="M50:N50"/>
    <mergeCell ref="M51:N51"/>
    <mergeCell ref="K49:L49"/>
    <mergeCell ref="K50:L50"/>
    <mergeCell ref="K54:L54"/>
    <mergeCell ref="I49:J49"/>
    <mergeCell ref="I50:J50"/>
    <mergeCell ref="I51:J51"/>
    <mergeCell ref="C69:D69"/>
    <mergeCell ref="C71:D71"/>
    <mergeCell ref="C72:D72"/>
    <mergeCell ref="C73:D73"/>
    <mergeCell ref="B5:E5"/>
    <mergeCell ref="B6:E6"/>
    <mergeCell ref="B7:E7"/>
    <mergeCell ref="B8:E8"/>
    <mergeCell ref="B9:E9"/>
    <mergeCell ref="A40:S40"/>
    <mergeCell ref="A41:B42"/>
    <mergeCell ref="K14:L14"/>
    <mergeCell ref="A18:A19"/>
    <mergeCell ref="C19:D19"/>
    <mergeCell ref="A24:A25"/>
    <mergeCell ref="M17:N17"/>
    <mergeCell ref="I16:J16"/>
    <mergeCell ref="A11:B11"/>
    <mergeCell ref="E12:F12"/>
    <mergeCell ref="C22:D22"/>
    <mergeCell ref="M14:N14"/>
    <mergeCell ref="I14:J14"/>
    <mergeCell ref="A14:A15"/>
    <mergeCell ref="A16:A17"/>
    <mergeCell ref="M15:N15"/>
    <mergeCell ref="A12:B13"/>
    <mergeCell ref="C12:D12"/>
    <mergeCell ref="G12:H12"/>
    <mergeCell ref="AA11:AH11"/>
    <mergeCell ref="AA40:AD40"/>
    <mergeCell ref="Z43:Z44"/>
    <mergeCell ref="AA43:AA44"/>
    <mergeCell ref="AC43:AC44"/>
    <mergeCell ref="AB43:AB44"/>
    <mergeCell ref="AD43:AD44"/>
    <mergeCell ref="R14:R15"/>
    <mergeCell ref="R16:R17"/>
    <mergeCell ref="R18:R19"/>
    <mergeCell ref="U16:U17"/>
    <mergeCell ref="S20:S21"/>
    <mergeCell ref="V12:Y12"/>
    <mergeCell ref="X14:X15"/>
    <mergeCell ref="X16:X17"/>
    <mergeCell ref="X18:X19"/>
    <mergeCell ref="X20:X21"/>
    <mergeCell ref="X22:X23"/>
    <mergeCell ref="X24:X25"/>
    <mergeCell ref="Y14:Y15"/>
    <mergeCell ref="Y16:Y17"/>
    <mergeCell ref="Y18:Y19"/>
    <mergeCell ref="Y20:Y21"/>
    <mergeCell ref="Y22:Y23"/>
    <mergeCell ref="Z91:Z92"/>
    <mergeCell ref="AA91:AA92"/>
    <mergeCell ref="AB91:AB92"/>
    <mergeCell ref="AC91:AC92"/>
    <mergeCell ref="AD91:AD92"/>
    <mergeCell ref="Z89:Z90"/>
    <mergeCell ref="AA89:AA90"/>
    <mergeCell ref="AB89:AB90"/>
    <mergeCell ref="AC89:AC90"/>
    <mergeCell ref="AD89:AD90"/>
    <mergeCell ref="Z95:Z96"/>
    <mergeCell ref="AA95:AA96"/>
    <mergeCell ref="AB95:AB96"/>
    <mergeCell ref="AC95:AC96"/>
    <mergeCell ref="AD95:AD96"/>
    <mergeCell ref="Z93:Z94"/>
    <mergeCell ref="AA93:AA94"/>
    <mergeCell ref="AB93:AB94"/>
    <mergeCell ref="AC93:AC94"/>
    <mergeCell ref="AD93:AD94"/>
    <mergeCell ref="AC87:AC88"/>
    <mergeCell ref="AD87:AD88"/>
    <mergeCell ref="Z85:Z86"/>
    <mergeCell ref="AA85:AA86"/>
    <mergeCell ref="AB85:AB86"/>
    <mergeCell ref="AC85:AC86"/>
    <mergeCell ref="AD85:AD86"/>
    <mergeCell ref="Z54:Z55"/>
    <mergeCell ref="AA54:AA55"/>
    <mergeCell ref="AC54:AC55"/>
    <mergeCell ref="AB54:AB55"/>
    <mergeCell ref="AD54:AD55"/>
    <mergeCell ref="AA82:AD82"/>
    <mergeCell ref="Z87:Z88"/>
    <mergeCell ref="AA87:AA88"/>
    <mergeCell ref="AB87:AB88"/>
    <mergeCell ref="Z51:Z53"/>
    <mergeCell ref="AA51:AA53"/>
    <mergeCell ref="AC51:AC53"/>
    <mergeCell ref="AB51:AB53"/>
    <mergeCell ref="AD51:AD53"/>
    <mergeCell ref="Z49:Z50"/>
    <mergeCell ref="AA49:AA50"/>
    <mergeCell ref="AC49:AC50"/>
    <mergeCell ref="AB49:AB50"/>
    <mergeCell ref="AD49:AD50"/>
    <mergeCell ref="Z47:Z48"/>
    <mergeCell ref="AA47:AA48"/>
    <mergeCell ref="AC47:AC48"/>
    <mergeCell ref="AB47:AB48"/>
    <mergeCell ref="AD47:AD48"/>
    <mergeCell ref="Z45:Z46"/>
    <mergeCell ref="AA45:AA46"/>
    <mergeCell ref="AC45:AC46"/>
    <mergeCell ref="AB45:AB46"/>
    <mergeCell ref="AD45:AD46"/>
    <mergeCell ref="A20:A21"/>
    <mergeCell ref="K12:L12"/>
    <mergeCell ref="M12:N12"/>
    <mergeCell ref="P14:Q14"/>
    <mergeCell ref="P17:Q17"/>
    <mergeCell ref="Y24:Y25"/>
    <mergeCell ref="V14:V15"/>
    <mergeCell ref="V16:V17"/>
    <mergeCell ref="V18:V19"/>
    <mergeCell ref="V20:V21"/>
    <mergeCell ref="V22:V23"/>
    <mergeCell ref="V24:V25"/>
    <mergeCell ref="W14:W15"/>
    <mergeCell ref="W16:W17"/>
    <mergeCell ref="W18:W19"/>
    <mergeCell ref="W20:W21"/>
    <mergeCell ref="W22:W23"/>
    <mergeCell ref="W24:W25"/>
    <mergeCell ref="I12:J12"/>
    <mergeCell ref="I17:J17"/>
    <mergeCell ref="K15:L15"/>
    <mergeCell ref="I15:J15"/>
    <mergeCell ref="R22:R23"/>
    <mergeCell ref="S22:S23"/>
    <mergeCell ref="A43:A48"/>
    <mergeCell ref="A49:A54"/>
    <mergeCell ref="A55:A60"/>
    <mergeCell ref="A61:A66"/>
    <mergeCell ref="A67:A72"/>
    <mergeCell ref="A4:T4"/>
    <mergeCell ref="O11:R11"/>
    <mergeCell ref="A82:U82"/>
    <mergeCell ref="N1:T2"/>
    <mergeCell ref="O7:Q7"/>
    <mergeCell ref="O6:P6"/>
    <mergeCell ref="O5:Q5"/>
    <mergeCell ref="U18:U19"/>
    <mergeCell ref="U14:U15"/>
    <mergeCell ref="R5:T5"/>
    <mergeCell ref="A28:H28"/>
    <mergeCell ref="A29:H29"/>
    <mergeCell ref="A30:H30"/>
    <mergeCell ref="I28:K28"/>
    <mergeCell ref="I29:K29"/>
    <mergeCell ref="I30:K30"/>
    <mergeCell ref="C11:N11"/>
    <mergeCell ref="A5:A9"/>
    <mergeCell ref="F5:L5"/>
    <mergeCell ref="T22:T23"/>
    <mergeCell ref="R24:R25"/>
    <mergeCell ref="S24:S25"/>
    <mergeCell ref="T24:T25"/>
    <mergeCell ref="C96:D96"/>
    <mergeCell ref="A95:A96"/>
    <mergeCell ref="A31:H31"/>
    <mergeCell ref="I31:K31"/>
    <mergeCell ref="R93:R94"/>
    <mergeCell ref="C94:D94"/>
    <mergeCell ref="C95:D95"/>
    <mergeCell ref="R95:R96"/>
    <mergeCell ref="P86:Q86"/>
    <mergeCell ref="K85:L85"/>
    <mergeCell ref="P88:Q88"/>
    <mergeCell ref="R83:R84"/>
    <mergeCell ref="P85:Q85"/>
    <mergeCell ref="R85:R86"/>
    <mergeCell ref="I86:J86"/>
    <mergeCell ref="K83:L83"/>
    <mergeCell ref="M83:N83"/>
    <mergeCell ref="M85:N85"/>
    <mergeCell ref="A93:A94"/>
    <mergeCell ref="C93:D93"/>
    <mergeCell ref="N5:N9"/>
    <mergeCell ref="P15:Q15"/>
    <mergeCell ref="S14:S15"/>
    <mergeCell ref="T14:T15"/>
    <mergeCell ref="S18:S19"/>
    <mergeCell ref="T18:T19"/>
    <mergeCell ref="S16:S17"/>
    <mergeCell ref="T20:T21"/>
    <mergeCell ref="R20:R21"/>
    <mergeCell ref="T16:T17"/>
    <mergeCell ref="A89:A90"/>
    <mergeCell ref="C89:D89"/>
    <mergeCell ref="T93:T94"/>
    <mergeCell ref="S95:S96"/>
    <mergeCell ref="T95:T96"/>
    <mergeCell ref="S93:S94"/>
    <mergeCell ref="S83:S84"/>
    <mergeCell ref="R91:R92"/>
    <mergeCell ref="P87:Q87"/>
    <mergeCell ref="R87:R88"/>
    <mergeCell ref="K86:L86"/>
    <mergeCell ref="I83:J83"/>
    <mergeCell ref="K87:L87"/>
    <mergeCell ref="M87:N87"/>
    <mergeCell ref="I88:J88"/>
    <mergeCell ref="U95:U96"/>
    <mergeCell ref="T83:T84"/>
    <mergeCell ref="S85:S86"/>
    <mergeCell ref="T85:T86"/>
    <mergeCell ref="S87:S88"/>
    <mergeCell ref="T87:T88"/>
    <mergeCell ref="S89:S90"/>
    <mergeCell ref="T89:T90"/>
    <mergeCell ref="S91:S92"/>
    <mergeCell ref="T91:T92"/>
    <mergeCell ref="U83:U84"/>
    <mergeCell ref="U85:U86"/>
    <mergeCell ref="U87:U88"/>
    <mergeCell ref="U89:U90"/>
    <mergeCell ref="U91:U92"/>
    <mergeCell ref="U93:U94"/>
    <mergeCell ref="C18:D18"/>
    <mergeCell ref="C20:D20"/>
    <mergeCell ref="C21:D21"/>
    <mergeCell ref="C90:D90"/>
    <mergeCell ref="C92:D92"/>
    <mergeCell ref="A85:A86"/>
    <mergeCell ref="A91:A92"/>
    <mergeCell ref="C91:D91"/>
    <mergeCell ref="A22:A23"/>
    <mergeCell ref="C23:D23"/>
    <mergeCell ref="C24:D24"/>
    <mergeCell ref="C83:D83"/>
    <mergeCell ref="C25:D25"/>
    <mergeCell ref="A39:S39"/>
    <mergeCell ref="M86:N86"/>
    <mergeCell ref="R89:R90"/>
    <mergeCell ref="K88:L88"/>
    <mergeCell ref="M88:N88"/>
    <mergeCell ref="E83:F83"/>
    <mergeCell ref="I85:J85"/>
    <mergeCell ref="A87:A88"/>
    <mergeCell ref="I87:J87"/>
    <mergeCell ref="A83:B84"/>
    <mergeCell ref="G83:H83"/>
    <mergeCell ref="AH20:AH21"/>
    <mergeCell ref="AG14:AG15"/>
    <mergeCell ref="AG16:AG17"/>
    <mergeCell ref="AG18:AG19"/>
    <mergeCell ref="AG20:AG21"/>
    <mergeCell ref="K16:L16"/>
    <mergeCell ref="K17:L17"/>
    <mergeCell ref="P16:Q16"/>
    <mergeCell ref="M16:N16"/>
    <mergeCell ref="AD20:AD21"/>
    <mergeCell ref="Z16:Z17"/>
    <mergeCell ref="AA16:AA17"/>
    <mergeCell ref="AE16:AE17"/>
    <mergeCell ref="Z18:Z19"/>
    <mergeCell ref="AA18:AA19"/>
    <mergeCell ref="AE18:AE19"/>
    <mergeCell ref="Z14:Z15"/>
    <mergeCell ref="Z20:Z21"/>
    <mergeCell ref="AA20:AA21"/>
    <mergeCell ref="AE20:AE21"/>
    <mergeCell ref="U20:U21"/>
    <mergeCell ref="AC20:AC21"/>
    <mergeCell ref="AB20:AB21"/>
    <mergeCell ref="AF20:AF21"/>
    <mergeCell ref="U24:U25"/>
    <mergeCell ref="U22:U23"/>
    <mergeCell ref="AG27:AH27"/>
    <mergeCell ref="AH22:AH23"/>
    <mergeCell ref="AB24:AB25"/>
    <mergeCell ref="AF24:AF25"/>
    <mergeCell ref="AD24:AD25"/>
    <mergeCell ref="AH24:AH25"/>
    <mergeCell ref="AG22:AG23"/>
    <mergeCell ref="AG24:AG25"/>
    <mergeCell ref="AB22:AB23"/>
    <mergeCell ref="AF22:AF23"/>
    <mergeCell ref="AD22:AD23"/>
    <mergeCell ref="AC22:AC23"/>
    <mergeCell ref="AC24:AC25"/>
    <mergeCell ref="AA27:AB27"/>
    <mergeCell ref="AE27:AF27"/>
    <mergeCell ref="AC27:AD27"/>
    <mergeCell ref="Z22:Z23"/>
    <mergeCell ref="AA22:AA23"/>
    <mergeCell ref="AE22:AE23"/>
    <mergeCell ref="Z24:Z25"/>
    <mergeCell ref="AA24:AA25"/>
    <mergeCell ref="AE24:AE25"/>
    <mergeCell ref="AA12:AB12"/>
    <mergeCell ref="AE12:AF12"/>
    <mergeCell ref="AC12:AD12"/>
    <mergeCell ref="AG12:AH12"/>
    <mergeCell ref="AH14:AH15"/>
    <mergeCell ref="AF16:AF17"/>
    <mergeCell ref="AD16:AD17"/>
    <mergeCell ref="AH16:AH17"/>
    <mergeCell ref="AB18:AB19"/>
    <mergeCell ref="AF18:AF19"/>
    <mergeCell ref="AD18:AD19"/>
    <mergeCell ref="AH18:AH19"/>
    <mergeCell ref="AA14:AA15"/>
    <mergeCell ref="AB14:AB15"/>
    <mergeCell ref="AB16:AB17"/>
    <mergeCell ref="AF14:AF15"/>
    <mergeCell ref="AD14:AD15"/>
    <mergeCell ref="AC16:AC17"/>
    <mergeCell ref="AC18:AC19"/>
    <mergeCell ref="AE14:AE15"/>
    <mergeCell ref="AC14:AC15"/>
  </mergeCells>
  <phoneticPr fontId="2" type="noConversion"/>
  <conditionalFormatting sqref="C14:O14 C16:O16 E18:Q18 E20:Q20 E22:Q22 E24:Q24 C43:I43 C49:H49 O49 E55:Q55 E61:Q61 E67:Q67 E73:Q73 C85:O85 C87:O87 E89:Q89 E91:Q91 E93:Q93 E95:Q95">
    <cfRule type="containsText" dxfId="53" priority="17" operator="containsText" text="何嘉仁">
      <formula>NOT(ISERROR(SEARCH("何嘉仁",C14)))</formula>
    </cfRule>
    <cfRule type="containsText" dxfId="52" priority="18" operator="containsText" text="翰林">
      <formula>NOT(ISERROR(SEARCH("翰林",C14)))</formula>
    </cfRule>
    <cfRule type="containsText" dxfId="51" priority="19" operator="containsText" text="南一">
      <formula>NOT(ISERROR(SEARCH("南一",C14)))</formula>
    </cfRule>
    <cfRule type="containsText" dxfId="50" priority="20" operator="containsText" text="康軒">
      <formula>NOT(ISERROR(SEARCH("康軒",C14)))</formula>
    </cfRule>
  </conditionalFormatting>
  <conditionalFormatting sqref="K43:K54 M43:M54 I44:I54">
    <cfRule type="containsText" dxfId="49" priority="13" operator="containsText" text="何嘉仁">
      <formula>NOT(ISERROR(SEARCH("何嘉仁",I43)))</formula>
    </cfRule>
    <cfRule type="containsText" dxfId="48" priority="14" operator="containsText" text="翰林">
      <formula>NOT(ISERROR(SEARCH("翰林",I43)))</formula>
    </cfRule>
    <cfRule type="containsText" dxfId="47" priority="15" operator="containsText" text="南一">
      <formula>NOT(ISERROR(SEARCH("南一",I43)))</formula>
    </cfRule>
    <cfRule type="containsText" dxfId="46" priority="16" operator="containsText" text="康軒">
      <formula>NOT(ISERROR(SEARCH("康軒",I43)))</formula>
    </cfRule>
  </conditionalFormatting>
  <conditionalFormatting sqref="O43:P43">
    <cfRule type="containsText" dxfId="45" priority="9" operator="containsText" text="何嘉仁">
      <formula>NOT(ISERROR(SEARCH("何嘉仁",O43)))</formula>
    </cfRule>
    <cfRule type="containsText" dxfId="44" priority="10" operator="containsText" text="翰林">
      <formula>NOT(ISERROR(SEARCH("翰林",O43)))</formula>
    </cfRule>
    <cfRule type="containsText" dxfId="43" priority="11" operator="containsText" text="南一">
      <formula>NOT(ISERROR(SEARCH("南一",O43)))</formula>
    </cfRule>
    <cfRule type="containsText" dxfId="42" priority="12" operator="containsText" text="康軒">
      <formula>NOT(ISERROR(SEARCH("康軒",O43)))</formula>
    </cfRule>
  </conditionalFormatting>
  <conditionalFormatting sqref="P44:P54">
    <cfRule type="containsText" dxfId="41" priority="1" operator="containsText" text="何嘉仁">
      <formula>NOT(ISERROR(SEARCH("何嘉仁",P44)))</formula>
    </cfRule>
    <cfRule type="containsText" dxfId="40" priority="2" operator="containsText" text="翰林">
      <formula>NOT(ISERROR(SEARCH("翰林",P44)))</formula>
    </cfRule>
    <cfRule type="containsText" dxfId="39" priority="3" operator="containsText" text="南一">
      <formula>NOT(ISERROR(SEARCH("南一",P44)))</formula>
    </cfRule>
    <cfRule type="containsText" dxfId="38" priority="4" operator="containsText" text="康軒">
      <formula>NOT(ISERROR(SEARCH("康軒",P44)))</formula>
    </cfRule>
  </conditionalFormatting>
  <dataValidations count="4">
    <dataValidation type="list" allowBlank="1" showInputMessage="1" showErrorMessage="1" sqref="M24:N24" xr:uid="{00000000-0002-0000-0000-000000000000}">
      <formula1>五六英語</formula1>
    </dataValidation>
    <dataValidation type="list" allowBlank="1" showInputMessage="1" showErrorMessage="1" sqref="M18:N18 M20:N20 M22:N22" xr:uid="{00000000-0002-0000-0000-000001000000}">
      <formula1>英語</formula1>
    </dataValidation>
    <dataValidation type="list" allowBlank="1" showInputMessage="1" showErrorMessage="1" sqref="O24:Q24 O20:Q20 O16 E20:L20 O14 E22:L22 O18:Q18 C16:H16 E24:L24 O22:Q22 C14:H14 E18:L18" xr:uid="{00000000-0002-0000-0000-000002000000}">
      <formula1>版本</formula1>
    </dataValidation>
    <dataValidation type="whole" allowBlank="1" showInputMessage="1" showErrorMessage="1" sqref="C45:H46 O45:O46 C51:H52 O51:O52 E57:Q58 E63:Q64 E69:Q70 E75:Q76" xr:uid="{00000000-0002-0000-0000-000003000000}">
      <formula1>0</formula1>
      <formula2>30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39"/>
  <sheetViews>
    <sheetView tabSelected="1" topLeftCell="B33" workbookViewId="0">
      <selection activeCell="I64" sqref="I64:J64"/>
    </sheetView>
  </sheetViews>
  <sheetFormatPr defaultColWidth="9" defaultRowHeight="16.5"/>
  <cols>
    <col min="1" max="1" width="4.83203125" style="210" customWidth="1"/>
    <col min="2" max="11" width="11.6640625" style="210" customWidth="1"/>
    <col min="12" max="18" width="11.83203125" style="210" customWidth="1"/>
    <col min="19" max="20" width="15.83203125" style="210" customWidth="1"/>
    <col min="21" max="21" width="11.6640625" style="210" customWidth="1"/>
    <col min="22" max="22" width="9" style="210"/>
    <col min="23" max="39" width="11.83203125" style="210" customWidth="1"/>
    <col min="40" max="16384" width="9" style="210"/>
  </cols>
  <sheetData>
    <row r="1" spans="1:39" s="260" customFormat="1" ht="30" customHeight="1">
      <c r="A1" s="257" t="s">
        <v>243</v>
      </c>
      <c r="B1" s="257"/>
      <c r="C1" s="257"/>
      <c r="D1" s="257"/>
      <c r="E1" s="257"/>
      <c r="F1" s="257"/>
      <c r="G1" s="257"/>
      <c r="H1" s="257"/>
      <c r="I1" s="258"/>
      <c r="J1" s="258"/>
      <c r="K1" s="258"/>
      <c r="L1" s="259"/>
      <c r="M1" s="440" t="s">
        <v>226</v>
      </c>
      <c r="N1" s="440"/>
      <c r="O1" s="440"/>
      <c r="P1" s="440"/>
      <c r="Q1" s="440"/>
      <c r="R1" s="440"/>
      <c r="S1" s="440"/>
      <c r="U1" s="128"/>
    </row>
    <row r="2" spans="1:39" s="260" customFormat="1" ht="25.5">
      <c r="A2" s="257" t="s">
        <v>244</v>
      </c>
      <c r="B2" s="257"/>
      <c r="C2" s="257"/>
      <c r="D2" s="257"/>
      <c r="E2" s="257"/>
      <c r="F2" s="257"/>
      <c r="G2" s="257"/>
      <c r="H2" s="257"/>
      <c r="I2" s="258"/>
      <c r="J2" s="258"/>
      <c r="K2" s="258"/>
      <c r="L2" s="259"/>
      <c r="M2" s="440"/>
      <c r="N2" s="440"/>
      <c r="O2" s="440"/>
      <c r="P2" s="440"/>
      <c r="Q2" s="440"/>
      <c r="R2" s="440"/>
      <c r="S2" s="440"/>
      <c r="U2" s="128"/>
    </row>
    <row r="3" spans="1:39" s="208" customFormat="1" ht="14.25"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</row>
    <row r="4" spans="1:39" ht="35.1" customHeight="1" thickBot="1">
      <c r="A4" s="433" t="s">
        <v>264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209"/>
      <c r="U4" s="227"/>
    </row>
    <row r="5" spans="1:39" ht="27.6" customHeight="1" thickTop="1">
      <c r="A5" s="464" t="s">
        <v>163</v>
      </c>
      <c r="B5" s="474" t="s">
        <v>164</v>
      </c>
      <c r="C5" s="588"/>
      <c r="D5" s="589"/>
      <c r="E5" s="467"/>
      <c r="F5" s="468"/>
      <c r="G5" s="468"/>
      <c r="H5" s="468"/>
      <c r="I5" s="468"/>
      <c r="J5" s="468"/>
      <c r="K5" s="469"/>
      <c r="L5" s="242"/>
      <c r="M5" s="566" t="s">
        <v>93</v>
      </c>
      <c r="N5" s="562" t="s">
        <v>165</v>
      </c>
      <c r="O5" s="560"/>
      <c r="P5" s="563"/>
      <c r="Q5" s="559" t="s">
        <v>166</v>
      </c>
      <c r="R5" s="560"/>
      <c r="S5" s="561"/>
    </row>
    <row r="6" spans="1:39" ht="23.45" customHeight="1">
      <c r="A6" s="465"/>
      <c r="B6" s="441" t="s">
        <v>167</v>
      </c>
      <c r="C6" s="442"/>
      <c r="D6" s="564"/>
      <c r="E6" s="53" t="s">
        <v>168</v>
      </c>
      <c r="F6" s="53" t="s">
        <v>169</v>
      </c>
      <c r="G6" s="53" t="s">
        <v>170</v>
      </c>
      <c r="H6" s="53" t="s">
        <v>171</v>
      </c>
      <c r="I6" s="53" t="s">
        <v>172</v>
      </c>
      <c r="J6" s="53" t="s">
        <v>173</v>
      </c>
      <c r="K6" s="54" t="s">
        <v>174</v>
      </c>
      <c r="L6" s="17"/>
      <c r="M6" s="567"/>
      <c r="N6" s="441" t="s">
        <v>175</v>
      </c>
      <c r="O6" s="564"/>
      <c r="P6" s="243"/>
      <c r="Q6" s="53" t="s">
        <v>176</v>
      </c>
      <c r="R6" s="244" t="s">
        <v>177</v>
      </c>
      <c r="S6" s="245" t="s">
        <v>174</v>
      </c>
    </row>
    <row r="7" spans="1:39" ht="23.45" customHeight="1">
      <c r="A7" s="465"/>
      <c r="B7" s="441" t="s">
        <v>178</v>
      </c>
      <c r="C7" s="442"/>
      <c r="D7" s="564"/>
      <c r="E7" s="243"/>
      <c r="F7" s="243"/>
      <c r="G7" s="243"/>
      <c r="H7" s="243"/>
      <c r="I7" s="243"/>
      <c r="J7" s="243"/>
      <c r="K7" s="52">
        <f>SUM(E7:J7)</f>
        <v>0</v>
      </c>
      <c r="L7" s="17"/>
      <c r="M7" s="567"/>
      <c r="N7" s="441" t="s">
        <v>179</v>
      </c>
      <c r="O7" s="565"/>
      <c r="P7" s="564"/>
      <c r="Q7" s="246">
        <f>花東B表!F34</f>
        <v>0</v>
      </c>
      <c r="R7" s="72">
        <f>花東B表!G34</f>
        <v>0</v>
      </c>
      <c r="S7" s="247">
        <f>Q7+R7</f>
        <v>0</v>
      </c>
    </row>
    <row r="8" spans="1:39" ht="23.45" customHeight="1">
      <c r="A8" s="465"/>
      <c r="B8" s="441" t="s">
        <v>180</v>
      </c>
      <c r="C8" s="442"/>
      <c r="D8" s="564"/>
      <c r="E8" s="248"/>
      <c r="F8" s="248"/>
      <c r="G8" s="248"/>
      <c r="H8" s="248"/>
      <c r="I8" s="248"/>
      <c r="J8" s="248"/>
      <c r="K8" s="52">
        <f>SUM(E8:J8)</f>
        <v>0</v>
      </c>
      <c r="L8" s="17"/>
      <c r="M8" s="567"/>
      <c r="N8" s="53" t="s">
        <v>181</v>
      </c>
      <c r="O8" s="71" t="s">
        <v>182</v>
      </c>
      <c r="P8" s="71" t="s">
        <v>183</v>
      </c>
      <c r="Q8" s="249" t="s">
        <v>181</v>
      </c>
      <c r="R8" s="53" t="s">
        <v>182</v>
      </c>
      <c r="S8" s="245" t="s">
        <v>183</v>
      </c>
    </row>
    <row r="9" spans="1:39" ht="23.45" customHeight="1" thickBot="1">
      <c r="A9" s="466"/>
      <c r="B9" s="482" t="s">
        <v>184</v>
      </c>
      <c r="C9" s="590"/>
      <c r="D9" s="591"/>
      <c r="E9" s="50">
        <f>E7-E8</f>
        <v>0</v>
      </c>
      <c r="F9" s="50">
        <f>F7-F8</f>
        <v>0</v>
      </c>
      <c r="G9" s="50">
        <f t="shared" ref="G9:J9" si="0">G7-G8</f>
        <v>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51">
        <f>SUM(E9:J9)</f>
        <v>0</v>
      </c>
      <c r="L9" s="250"/>
      <c r="M9" s="568"/>
      <c r="N9" s="251"/>
      <c r="O9" s="252"/>
      <c r="P9" s="253"/>
      <c r="Q9" s="254">
        <f>花東B表!D34</f>
        <v>0</v>
      </c>
      <c r="R9" s="255">
        <f>花東B表!E34</f>
        <v>0</v>
      </c>
      <c r="S9" s="256">
        <f>Q9+R9</f>
        <v>0</v>
      </c>
    </row>
    <row r="10" spans="1:39" ht="17.25" thickBot="1">
      <c r="A10" s="240"/>
      <c r="V10"/>
      <c r="W10" s="358" t="s">
        <v>236</v>
      </c>
      <c r="X10" s="358"/>
      <c r="Y10" s="473"/>
      <c r="Z10" s="473"/>
      <c r="AA10" s="473"/>
      <c r="AB10" s="473"/>
      <c r="AC10" s="473"/>
      <c r="AD10" s="473"/>
      <c r="AE10" s="473"/>
      <c r="AF10" s="473"/>
      <c r="AG10" s="473"/>
      <c r="AH10"/>
      <c r="AI10"/>
      <c r="AJ10"/>
      <c r="AK10"/>
      <c r="AL10"/>
      <c r="AM10"/>
    </row>
    <row r="11" spans="1:39" ht="25.9" customHeight="1">
      <c r="A11" s="464" t="s">
        <v>185</v>
      </c>
      <c r="B11" s="584" t="s">
        <v>230</v>
      </c>
      <c r="C11" s="585"/>
      <c r="D11" s="581" t="s">
        <v>186</v>
      </c>
      <c r="E11" s="581"/>
      <c r="F11" s="581" t="s">
        <v>187</v>
      </c>
      <c r="G11" s="581"/>
      <c r="H11" s="581" t="s">
        <v>188</v>
      </c>
      <c r="I11" s="581"/>
      <c r="J11" s="581" t="s">
        <v>91</v>
      </c>
      <c r="K11" s="581"/>
      <c r="L11" s="575" t="s">
        <v>51</v>
      </c>
      <c r="M11" s="576"/>
      <c r="N11" s="581" t="s">
        <v>189</v>
      </c>
      <c r="O11" s="543"/>
      <c r="P11" s="582" t="s">
        <v>190</v>
      </c>
      <c r="Q11" s="555" t="s">
        <v>213</v>
      </c>
      <c r="R11" s="556"/>
      <c r="S11" s="550" t="s">
        <v>214</v>
      </c>
      <c r="V11" s="146"/>
      <c r="W11" s="351" t="s">
        <v>36</v>
      </c>
      <c r="X11" s="351"/>
      <c r="Y11" s="352"/>
      <c r="Z11" s="354" t="s">
        <v>227</v>
      </c>
      <c r="AA11" s="354"/>
      <c r="AB11" s="352"/>
      <c r="AC11" s="353" t="s">
        <v>228</v>
      </c>
      <c r="AD11" s="353"/>
      <c r="AE11" s="352"/>
      <c r="AF11" s="355" t="s">
        <v>229</v>
      </c>
      <c r="AG11" s="352"/>
      <c r="AH11" s="2"/>
      <c r="AI11" s="2"/>
      <c r="AJ11" s="2"/>
      <c r="AK11" s="2"/>
      <c r="AL11" s="2"/>
      <c r="AM11" s="2"/>
    </row>
    <row r="12" spans="1:39">
      <c r="A12" s="465"/>
      <c r="B12" s="586"/>
      <c r="C12" s="587"/>
      <c r="D12" s="219" t="s">
        <v>191</v>
      </c>
      <c r="E12" s="219" t="s">
        <v>192</v>
      </c>
      <c r="F12" s="219" t="s">
        <v>191</v>
      </c>
      <c r="G12" s="219" t="s">
        <v>192</v>
      </c>
      <c r="H12" s="219" t="s">
        <v>191</v>
      </c>
      <c r="I12" s="219" t="s">
        <v>192</v>
      </c>
      <c r="J12" s="219" t="s">
        <v>191</v>
      </c>
      <c r="K12" s="219" t="s">
        <v>192</v>
      </c>
      <c r="L12" s="219" t="s">
        <v>191</v>
      </c>
      <c r="M12" s="212" t="s">
        <v>192</v>
      </c>
      <c r="N12" s="219" t="s">
        <v>191</v>
      </c>
      <c r="O12" s="216" t="s">
        <v>192</v>
      </c>
      <c r="P12" s="583"/>
      <c r="Q12" s="557"/>
      <c r="R12" s="556"/>
      <c r="S12" s="551"/>
      <c r="V12" s="2"/>
      <c r="W12" s="146" t="s">
        <v>237</v>
      </c>
      <c r="X12" s="238" t="s">
        <v>241</v>
      </c>
      <c r="Y12" s="160" t="s">
        <v>137</v>
      </c>
      <c r="Z12" s="146" t="s">
        <v>237</v>
      </c>
      <c r="AA12" s="238" t="s">
        <v>241</v>
      </c>
      <c r="AB12" s="160" t="s">
        <v>137</v>
      </c>
      <c r="AC12" s="146" t="s">
        <v>237</v>
      </c>
      <c r="AD12" s="238" t="s">
        <v>241</v>
      </c>
      <c r="AE12" s="160" t="s">
        <v>137</v>
      </c>
      <c r="AF12" s="146" t="s">
        <v>237</v>
      </c>
      <c r="AG12" s="160" t="s">
        <v>137</v>
      </c>
      <c r="AH12" s="2"/>
      <c r="AI12" s="2"/>
      <c r="AJ12" s="2"/>
      <c r="AK12" s="2"/>
      <c r="AL12" s="2"/>
      <c r="AM12" s="2"/>
    </row>
    <row r="13" spans="1:39">
      <c r="A13" s="465"/>
      <c r="B13" s="592" t="s">
        <v>193</v>
      </c>
      <c r="C13" s="262" t="s">
        <v>232</v>
      </c>
      <c r="D13" s="264" t="s">
        <v>88</v>
      </c>
      <c r="E13" s="264" t="s">
        <v>88</v>
      </c>
      <c r="F13" s="264" t="s">
        <v>88</v>
      </c>
      <c r="G13" s="264" t="s">
        <v>88</v>
      </c>
      <c r="H13" s="264" t="s">
        <v>88</v>
      </c>
      <c r="I13" s="264" t="s">
        <v>88</v>
      </c>
      <c r="J13" s="577"/>
      <c r="K13" s="578"/>
      <c r="L13" s="577"/>
      <c r="M13" s="578"/>
      <c r="N13" s="593"/>
      <c r="O13" s="594"/>
      <c r="P13" s="546">
        <f>SUM(D14:I14)</f>
        <v>0</v>
      </c>
      <c r="Q13" s="552">
        <f>P13*E9</f>
        <v>0</v>
      </c>
      <c r="R13" s="553"/>
      <c r="S13" s="540">
        <f>P13*E8</f>
        <v>0</v>
      </c>
      <c r="V13" s="362" t="s">
        <v>102</v>
      </c>
      <c r="W13" s="358">
        <f>SUMIF(D13:I13,"康軒",D14:I14)*E9</f>
        <v>0</v>
      </c>
      <c r="X13" s="544">
        <f>SUMIF(D28,"康軒",D31)</f>
        <v>0</v>
      </c>
      <c r="Y13" s="356">
        <f>SUMIF(D13:I13,"康軒",D14:I14)*E8</f>
        <v>0</v>
      </c>
      <c r="Z13" s="358">
        <f>SUMIF(D13:I13,"翰林",D14:I14)*E9</f>
        <v>0</v>
      </c>
      <c r="AA13" s="544">
        <f>SUMIF(D28,"翰林",D31)</f>
        <v>0</v>
      </c>
      <c r="AB13" s="356">
        <f>SUMIF(D13:I13,"翰林",D14:I14)*E8</f>
        <v>0</v>
      </c>
      <c r="AC13" s="358">
        <f>SUMIF(D13:I13,"南一",D14:I14)*E9</f>
        <v>0</v>
      </c>
      <c r="AD13" s="544">
        <f>SUMIF(D28,"南一",D31)</f>
        <v>0</v>
      </c>
      <c r="AE13" s="356">
        <f>SUMIF(D13:I13,"南一",D14:I14)*E8</f>
        <v>0</v>
      </c>
      <c r="AF13" s="358"/>
      <c r="AG13" s="356"/>
      <c r="AH13" s="2"/>
      <c r="AI13" s="2"/>
      <c r="AJ13" s="2"/>
      <c r="AK13" s="2"/>
      <c r="AL13" s="2"/>
      <c r="AM13" s="2"/>
    </row>
    <row r="14" spans="1:39">
      <c r="A14" s="465"/>
      <c r="B14" s="592"/>
      <c r="C14" s="262" t="s">
        <v>233</v>
      </c>
      <c r="D14" s="221" t="str">
        <f>VLOOKUP(D13,工作表2!$A$5:$BG$9,2,FALSE)</f>
        <v>金額</v>
      </c>
      <c r="E14" s="221" t="str">
        <f>VLOOKUP(E13,工作表2!$A$5:$BG$9,3,FALSE)</f>
        <v>金額</v>
      </c>
      <c r="F14" s="221" t="str">
        <f>VLOOKUP(F13,工作表2!$A$5:$BG$9,4,FALSE)</f>
        <v>金額</v>
      </c>
      <c r="G14" s="221" t="str">
        <f>VLOOKUP(G13,工作表2!$A$5:$BG$9,5,FALSE)</f>
        <v>金額</v>
      </c>
      <c r="H14" s="221" t="str">
        <f>VLOOKUP(H13,工作表2!$A$5:$BG$9,6,FALSE)</f>
        <v>金額</v>
      </c>
      <c r="I14" s="221" t="str">
        <f>VLOOKUP(I13,工作表2!$A$5:$BG$9,7,FALSE)</f>
        <v>金額</v>
      </c>
      <c r="J14" s="579"/>
      <c r="K14" s="580"/>
      <c r="L14" s="579"/>
      <c r="M14" s="580"/>
      <c r="N14" s="593"/>
      <c r="O14" s="594"/>
      <c r="P14" s="547"/>
      <c r="Q14" s="554"/>
      <c r="R14" s="553"/>
      <c r="S14" s="541"/>
      <c r="V14" s="362"/>
      <c r="W14" s="358"/>
      <c r="X14" s="544"/>
      <c r="Y14" s="356"/>
      <c r="Z14" s="358"/>
      <c r="AA14" s="544"/>
      <c r="AB14" s="356"/>
      <c r="AC14" s="358"/>
      <c r="AD14" s="544"/>
      <c r="AE14" s="356"/>
      <c r="AF14" s="358"/>
      <c r="AG14" s="356"/>
      <c r="AH14" s="2"/>
      <c r="AI14" s="2"/>
      <c r="AJ14" s="2"/>
      <c r="AK14" s="2"/>
      <c r="AL14" s="2"/>
      <c r="AM14" s="2"/>
    </row>
    <row r="15" spans="1:39">
      <c r="A15" s="465"/>
      <c r="B15" s="592" t="s">
        <v>194</v>
      </c>
      <c r="C15" s="262" t="s">
        <v>232</v>
      </c>
      <c r="D15" s="264" t="s">
        <v>88</v>
      </c>
      <c r="E15" s="264" t="s">
        <v>88</v>
      </c>
      <c r="F15" s="264" t="s">
        <v>88</v>
      </c>
      <c r="G15" s="264" t="s">
        <v>88</v>
      </c>
      <c r="H15" s="264" t="s">
        <v>88</v>
      </c>
      <c r="I15" s="264" t="s">
        <v>88</v>
      </c>
      <c r="J15" s="577"/>
      <c r="K15" s="578"/>
      <c r="L15" s="577"/>
      <c r="M15" s="578"/>
      <c r="N15" s="593"/>
      <c r="O15" s="594"/>
      <c r="P15" s="546">
        <f>SUM(D16:I16)</f>
        <v>0</v>
      </c>
      <c r="Q15" s="552">
        <f>P15*F9</f>
        <v>0</v>
      </c>
      <c r="R15" s="553"/>
      <c r="S15" s="540">
        <f>P15*F8</f>
        <v>0</v>
      </c>
      <c r="V15" s="362" t="s">
        <v>101</v>
      </c>
      <c r="W15" s="358">
        <f>SUMIF(D15:I15,"康軒",D16:I16)*F9</f>
        <v>0</v>
      </c>
      <c r="X15" s="544">
        <f>SUMIF(D32,"康軒",D35)</f>
        <v>0</v>
      </c>
      <c r="Y15" s="356">
        <f>SUMIF(D15:I15,"康軒",D16:I16)*F8</f>
        <v>0</v>
      </c>
      <c r="Z15" s="358">
        <f>SUMIF(D15:I15,"翰林",D16:I16)*F9</f>
        <v>0</v>
      </c>
      <c r="AA15" s="544">
        <f>SUMIF(D32,"翰林",D35)</f>
        <v>0</v>
      </c>
      <c r="AB15" s="356">
        <f>SUMIF(D15:I15,"翰林",D16:I16)*F8</f>
        <v>0</v>
      </c>
      <c r="AC15" s="358">
        <f>SUMIF(D15:I15,"南一",D16:I16)*F9</f>
        <v>0</v>
      </c>
      <c r="AD15" s="544">
        <f>SUMIF(D32,"南一",D35)</f>
        <v>0</v>
      </c>
      <c r="AE15" s="356">
        <f>SUMIF(D15:I15,"南一",D16:I16)*F8</f>
        <v>0</v>
      </c>
      <c r="AF15" s="358"/>
      <c r="AG15" s="356"/>
      <c r="AH15" s="2"/>
      <c r="AI15" s="2"/>
      <c r="AJ15" s="2"/>
      <c r="AK15" s="2"/>
      <c r="AL15" s="2"/>
      <c r="AM15" s="2"/>
    </row>
    <row r="16" spans="1:39">
      <c r="A16" s="465"/>
      <c r="B16" s="592"/>
      <c r="C16" s="262" t="s">
        <v>233</v>
      </c>
      <c r="D16" s="221" t="str">
        <f>VLOOKUP(D15,工作表2!$A$5:$BG$9,9,FALSE)</f>
        <v>金額</v>
      </c>
      <c r="E16" s="221" t="str">
        <f>VLOOKUP(E15,工作表2!$A$5:$BG$9,10,FALSE)</f>
        <v>金額</v>
      </c>
      <c r="F16" s="221" t="str">
        <f>VLOOKUP(F15,工作表2!$A$5:$BG$9,11,FALSE)</f>
        <v>金額</v>
      </c>
      <c r="G16" s="221" t="str">
        <f>VLOOKUP(G15,工作表2!$A$5:$BG$9,12,FALSE)</f>
        <v>金額</v>
      </c>
      <c r="H16" s="221" t="str">
        <f>VLOOKUP(H15,工作表2!$A$5:$BG$9,13,FALSE)</f>
        <v>金額</v>
      </c>
      <c r="I16" s="221" t="str">
        <f>VLOOKUP(I15,工作表2!$A$5:$BG$9,14,FALSE)</f>
        <v>金額</v>
      </c>
      <c r="J16" s="579"/>
      <c r="K16" s="580"/>
      <c r="L16" s="579"/>
      <c r="M16" s="580"/>
      <c r="N16" s="593"/>
      <c r="O16" s="594"/>
      <c r="P16" s="547"/>
      <c r="Q16" s="554"/>
      <c r="R16" s="553"/>
      <c r="S16" s="541"/>
      <c r="V16" s="362"/>
      <c r="W16" s="358"/>
      <c r="X16" s="544"/>
      <c r="Y16" s="356"/>
      <c r="Z16" s="358"/>
      <c r="AA16" s="544"/>
      <c r="AB16" s="356"/>
      <c r="AC16" s="358"/>
      <c r="AD16" s="544"/>
      <c r="AE16" s="356"/>
      <c r="AF16" s="358"/>
      <c r="AG16" s="356"/>
      <c r="AH16" s="2"/>
      <c r="AI16" s="2"/>
      <c r="AJ16" s="2"/>
      <c r="AK16" s="2"/>
      <c r="AL16" s="2"/>
      <c r="AM16" s="2"/>
    </row>
    <row r="17" spans="1:40">
      <c r="A17" s="465"/>
      <c r="B17" s="592" t="s">
        <v>195</v>
      </c>
      <c r="C17" s="262" t="s">
        <v>232</v>
      </c>
      <c r="D17" s="577"/>
      <c r="E17" s="578"/>
      <c r="F17" s="264" t="s">
        <v>88</v>
      </c>
      <c r="G17" s="264" t="s">
        <v>88</v>
      </c>
      <c r="H17" s="264" t="s">
        <v>88</v>
      </c>
      <c r="I17" s="264" t="s">
        <v>88</v>
      </c>
      <c r="J17" s="264" t="s">
        <v>88</v>
      </c>
      <c r="K17" s="264" t="s">
        <v>88</v>
      </c>
      <c r="L17" s="264" t="s">
        <v>88</v>
      </c>
      <c r="M17" s="265" t="s">
        <v>88</v>
      </c>
      <c r="N17" s="266" t="s">
        <v>88</v>
      </c>
      <c r="O17" s="267" t="s">
        <v>88</v>
      </c>
      <c r="P17" s="546">
        <f>SUM(F18:O18)</f>
        <v>0</v>
      </c>
      <c r="Q17" s="552">
        <f>P17*G9</f>
        <v>0</v>
      </c>
      <c r="R17" s="553"/>
      <c r="S17" s="540">
        <f>P17*G8</f>
        <v>0</v>
      </c>
      <c r="V17" s="362" t="s">
        <v>100</v>
      </c>
      <c r="W17" s="358">
        <f>SUMIF(F17:O17,"康軒",F18:O18)*G9</f>
        <v>0</v>
      </c>
      <c r="X17" s="544">
        <f>SUMIF(D36:F36,"康軒",D39:F39)</f>
        <v>0</v>
      </c>
      <c r="Y17" s="356">
        <f>SUMIF(F17:O17,"康軒",F18:O18)*G8</f>
        <v>0</v>
      </c>
      <c r="Z17" s="358">
        <f>SUMIF(F17:O17,"翰林",F18:O18)*G9</f>
        <v>0</v>
      </c>
      <c r="AA17" s="544">
        <f>SUMIF(D36:F36,"翰林",D39:F39)</f>
        <v>0</v>
      </c>
      <c r="AB17" s="356">
        <f>SUMIF(F17:O17,"翰林",F18:O18)*G8</f>
        <v>0</v>
      </c>
      <c r="AC17" s="358">
        <f>SUMIF(F17:O17,"南一",F18:O18)*G9</f>
        <v>0</v>
      </c>
      <c r="AD17" s="544">
        <f>SUMIF(D36:F36,"南一",D39:F39)</f>
        <v>0</v>
      </c>
      <c r="AE17" s="356">
        <f>SUMIF(F17:O17,"南一",F18:O18)*G8</f>
        <v>0</v>
      </c>
      <c r="AF17" s="358">
        <f>SUMIF(F17:O17,"何嘉仁",F18:O18)*G9</f>
        <v>0</v>
      </c>
      <c r="AG17" s="356">
        <f>SUMIF(F17:O17,"何嘉仁",F18:O18)*G8</f>
        <v>0</v>
      </c>
      <c r="AH17" s="2"/>
      <c r="AI17" s="2"/>
      <c r="AJ17" s="2"/>
      <c r="AK17" s="2"/>
      <c r="AL17" s="2"/>
      <c r="AM17" s="2"/>
    </row>
    <row r="18" spans="1:40">
      <c r="A18" s="465"/>
      <c r="B18" s="592"/>
      <c r="C18" s="262" t="s">
        <v>233</v>
      </c>
      <c r="D18" s="612"/>
      <c r="E18" s="613"/>
      <c r="F18" s="221" t="str">
        <f>VLOOKUP(F17,工作表2!$A$5:$BG$9,16,FALSE)</f>
        <v>金額</v>
      </c>
      <c r="G18" s="221" t="str">
        <f>VLOOKUP(G17,工作表2!$A$5:$BG$9,17,FALSE)</f>
        <v>金額</v>
      </c>
      <c r="H18" s="221" t="str">
        <f>VLOOKUP(H17,工作表2!$A$5:$BG$9,18,FALSE)</f>
        <v>金額</v>
      </c>
      <c r="I18" s="221" t="str">
        <f>VLOOKUP(I17,工作表2!$A$5:$BG$9,19,FALSE)</f>
        <v>金額</v>
      </c>
      <c r="J18" s="221" t="str">
        <f>VLOOKUP(J17,工作表2!$A$5:$BG$9,20,FALSE)</f>
        <v>金額</v>
      </c>
      <c r="K18" s="221" t="str">
        <f>VLOOKUP(K17,工作表2!$A$5:$BG$9,21,FALSE)</f>
        <v>金額</v>
      </c>
      <c r="L18" s="221" t="str">
        <f>VLOOKUP(L17,工作表2!$A$5:$BG$9,22,FALSE)</f>
        <v>金額</v>
      </c>
      <c r="M18" s="213" t="str">
        <f>VLOOKUP(M17,工作表2!$A$5:$BG$9,23,FALSE)</f>
        <v>金額</v>
      </c>
      <c r="N18" s="221" t="str">
        <f>VLOOKUP(N17,工作表2!$A$15:$I$19,2,FALSE)</f>
        <v>金額</v>
      </c>
      <c r="O18" s="231" t="str">
        <f>VLOOKUP(O17,工作表2!$A$15:$I$19,3,FALSE)</f>
        <v>金額</v>
      </c>
      <c r="P18" s="547"/>
      <c r="Q18" s="554"/>
      <c r="R18" s="553"/>
      <c r="S18" s="541"/>
      <c r="V18" s="362"/>
      <c r="W18" s="358"/>
      <c r="X18" s="544"/>
      <c r="Y18" s="356"/>
      <c r="Z18" s="358"/>
      <c r="AA18" s="544"/>
      <c r="AB18" s="356"/>
      <c r="AC18" s="358"/>
      <c r="AD18" s="544"/>
      <c r="AE18" s="356"/>
      <c r="AF18" s="358"/>
      <c r="AG18" s="356"/>
      <c r="AH18" s="2"/>
      <c r="AI18" s="2"/>
      <c r="AJ18" s="2"/>
      <c r="AK18" s="2"/>
      <c r="AL18" s="2"/>
      <c r="AM18" s="2"/>
    </row>
    <row r="19" spans="1:40">
      <c r="A19" s="465"/>
      <c r="B19" s="592" t="s">
        <v>196</v>
      </c>
      <c r="C19" s="262" t="s">
        <v>232</v>
      </c>
      <c r="D19" s="577"/>
      <c r="E19" s="578"/>
      <c r="F19" s="264" t="s">
        <v>88</v>
      </c>
      <c r="G19" s="264" t="s">
        <v>88</v>
      </c>
      <c r="H19" s="264" t="s">
        <v>88</v>
      </c>
      <c r="I19" s="264" t="s">
        <v>88</v>
      </c>
      <c r="J19" s="264" t="s">
        <v>88</v>
      </c>
      <c r="K19" s="264" t="s">
        <v>88</v>
      </c>
      <c r="L19" s="264" t="s">
        <v>88</v>
      </c>
      <c r="M19" s="265" t="s">
        <v>88</v>
      </c>
      <c r="N19" s="266" t="s">
        <v>88</v>
      </c>
      <c r="O19" s="267" t="s">
        <v>88</v>
      </c>
      <c r="P19" s="546">
        <f>SUM(F20:O20)</f>
        <v>0</v>
      </c>
      <c r="Q19" s="552">
        <f>P19*H9</f>
        <v>0</v>
      </c>
      <c r="R19" s="553"/>
      <c r="S19" s="540">
        <f>P19*H8</f>
        <v>0</v>
      </c>
      <c r="V19" s="362" t="s">
        <v>99</v>
      </c>
      <c r="W19" s="358">
        <f>SUMIF(F19:O19,"康軒",F20:O20)*H9</f>
        <v>0</v>
      </c>
      <c r="X19" s="544">
        <f>SUMIF(D40:F40,"康軒",D43:F43)</f>
        <v>0</v>
      </c>
      <c r="Y19" s="356">
        <f>SUMIF(F19:O19,"康軒",F20:O20)*H8</f>
        <v>0</v>
      </c>
      <c r="Z19" s="358">
        <f>SUMIF(F19:O19,"翰林",F20:O20)*H9</f>
        <v>0</v>
      </c>
      <c r="AA19" s="544">
        <f>SUMIF(D40:F40,"翰林",D43:F43)</f>
        <v>0</v>
      </c>
      <c r="AB19" s="356">
        <f>SUMIF(F19:O19,"翰林",F20:O20)*H8</f>
        <v>0</v>
      </c>
      <c r="AC19" s="358">
        <f>SUMIF(F19:O19,"南一",F20:O20)*H9</f>
        <v>0</v>
      </c>
      <c r="AD19" s="544">
        <f>SUMIF(D40:F40,"南一",D43:F43)</f>
        <v>0</v>
      </c>
      <c r="AE19" s="356">
        <f>SUMIF(F19:O19,"南一",F20:O20)*H8</f>
        <v>0</v>
      </c>
      <c r="AF19" s="358">
        <f>SUMIF(F19:O19,"何嘉仁",F20:O20)*H9</f>
        <v>0</v>
      </c>
      <c r="AG19" s="356">
        <f>SUMIF(F19:O19,"何嘉仁",F20:O20)*H8</f>
        <v>0</v>
      </c>
      <c r="AH19" s="2"/>
      <c r="AI19" s="2"/>
      <c r="AJ19" s="2"/>
      <c r="AK19" s="2"/>
      <c r="AL19" s="2"/>
      <c r="AM19" s="2"/>
    </row>
    <row r="20" spans="1:40">
      <c r="A20" s="465"/>
      <c r="B20" s="592"/>
      <c r="C20" s="262" t="s">
        <v>233</v>
      </c>
      <c r="D20" s="612"/>
      <c r="E20" s="613"/>
      <c r="F20" s="221" t="str">
        <f>VLOOKUP(F19,工作表2!$A$5:$BG$9,27,FALSE)</f>
        <v>金額</v>
      </c>
      <c r="G20" s="221" t="str">
        <f>VLOOKUP(G19,工作表2!$A$5:$BG$9,28,FALSE)</f>
        <v>金額</v>
      </c>
      <c r="H20" s="221" t="str">
        <f>VLOOKUP(H19,工作表2!$A$5:$BG$9,29,FALSE)</f>
        <v>金額</v>
      </c>
      <c r="I20" s="221" t="str">
        <f>VLOOKUP(I19,工作表2!$A$5:$BG$9,30,FALSE)</f>
        <v>金額</v>
      </c>
      <c r="J20" s="221" t="str">
        <f>VLOOKUP(J19,工作表2!$A$5:$BG$9,31,FALSE)</f>
        <v>金額</v>
      </c>
      <c r="K20" s="221" t="str">
        <f>VLOOKUP(K19,工作表2!$A$5:$BG$9,32,FALSE)</f>
        <v>金額</v>
      </c>
      <c r="L20" s="221" t="str">
        <f>VLOOKUP(L19,工作表2!$A$5:$BG$9,33,FALSE)</f>
        <v>金額</v>
      </c>
      <c r="M20" s="213" t="str">
        <f>VLOOKUP(M19,工作表2!$A$5:$BG$9,34,FALSE)</f>
        <v>金額</v>
      </c>
      <c r="N20" s="221" t="str">
        <f>VLOOKUP(N19,工作表2!$A$15:$I$19,4,FALSE)</f>
        <v>金額</v>
      </c>
      <c r="O20" s="231" t="str">
        <f>VLOOKUP(O19,工作表2!$A$15:$I$19,5,FALSE)</f>
        <v>金額</v>
      </c>
      <c r="P20" s="547"/>
      <c r="Q20" s="554"/>
      <c r="R20" s="553"/>
      <c r="S20" s="541"/>
      <c r="V20" s="362"/>
      <c r="W20" s="358"/>
      <c r="X20" s="544"/>
      <c r="Y20" s="356"/>
      <c r="Z20" s="358"/>
      <c r="AA20" s="544"/>
      <c r="AB20" s="356"/>
      <c r="AC20" s="358"/>
      <c r="AD20" s="544"/>
      <c r="AE20" s="356"/>
      <c r="AF20" s="358"/>
      <c r="AG20" s="356"/>
      <c r="AH20" s="2"/>
      <c r="AI20" s="2"/>
      <c r="AJ20" s="2"/>
      <c r="AK20" s="2"/>
      <c r="AL20" s="2"/>
      <c r="AM20" s="2"/>
    </row>
    <row r="21" spans="1:40">
      <c r="A21" s="465"/>
      <c r="B21" s="592" t="s">
        <v>197</v>
      </c>
      <c r="C21" s="262" t="s">
        <v>232</v>
      </c>
      <c r="D21" s="577"/>
      <c r="E21" s="578"/>
      <c r="F21" s="264" t="s">
        <v>88</v>
      </c>
      <c r="G21" s="264" t="s">
        <v>88</v>
      </c>
      <c r="H21" s="264" t="s">
        <v>88</v>
      </c>
      <c r="I21" s="264" t="s">
        <v>88</v>
      </c>
      <c r="J21" s="264" t="s">
        <v>88</v>
      </c>
      <c r="K21" s="264" t="s">
        <v>88</v>
      </c>
      <c r="L21" s="264" t="s">
        <v>88</v>
      </c>
      <c r="M21" s="265" t="s">
        <v>88</v>
      </c>
      <c r="N21" s="266" t="s">
        <v>88</v>
      </c>
      <c r="O21" s="267" t="s">
        <v>88</v>
      </c>
      <c r="P21" s="546">
        <f>SUM(F22:O22)</f>
        <v>0</v>
      </c>
      <c r="Q21" s="552">
        <f>P21*I9</f>
        <v>0</v>
      </c>
      <c r="R21" s="553"/>
      <c r="S21" s="540">
        <f>P21*I8</f>
        <v>0</v>
      </c>
      <c r="V21" s="362" t="s">
        <v>98</v>
      </c>
      <c r="W21" s="358">
        <f>SUMIF(F21:O21,"康軒",F22:O22)*I9</f>
        <v>0</v>
      </c>
      <c r="X21" s="544">
        <f>SUMIF(D44:F44,"康軒",D47:F47)</f>
        <v>0</v>
      </c>
      <c r="Y21" s="356">
        <f>SUMIF(F21:O21,"康軒",F22:O22)*I8</f>
        <v>0</v>
      </c>
      <c r="Z21" s="358">
        <f>SUMIF(F21:O21,"翰林",F22:O22)*I9</f>
        <v>0</v>
      </c>
      <c r="AA21" s="544">
        <f>SUMIF(D44:F44,"翰林",D47:F47)</f>
        <v>0</v>
      </c>
      <c r="AB21" s="356">
        <f>SUMIF(F21:O21,"翰林",F22:O22)*I8</f>
        <v>0</v>
      </c>
      <c r="AC21" s="358">
        <f>SUMIF(F21:O21,"南一",F22:O22)*I9</f>
        <v>0</v>
      </c>
      <c r="AD21" s="544">
        <f>SUMIF(D44:F44,"南一",D47:F47)</f>
        <v>0</v>
      </c>
      <c r="AE21" s="356">
        <f>SUMIF(F21:O21,"南一",F22:O22)*I8</f>
        <v>0</v>
      </c>
      <c r="AF21" s="358">
        <f>SUMIF(F21:O21,"何嘉仁",F22:O22)*I9</f>
        <v>0</v>
      </c>
      <c r="AG21" s="356">
        <f>SUMIF(F21:O21,"何嘉仁",F22:O22)*I8</f>
        <v>0</v>
      </c>
      <c r="AH21" s="2"/>
      <c r="AI21" s="2"/>
      <c r="AJ21" s="2"/>
      <c r="AK21" s="2"/>
      <c r="AL21" s="2"/>
      <c r="AM21" s="2"/>
      <c r="AN21" s="2"/>
    </row>
    <row r="22" spans="1:40">
      <c r="A22" s="465"/>
      <c r="B22" s="592"/>
      <c r="C22" s="262" t="s">
        <v>233</v>
      </c>
      <c r="D22" s="612"/>
      <c r="E22" s="613"/>
      <c r="F22" s="221" t="str">
        <f>VLOOKUP(F21,工作表2!$A$5:$BG$9,38,FALSE)</f>
        <v>金額</v>
      </c>
      <c r="G22" s="221" t="str">
        <f>VLOOKUP(G21,工作表2!$A$5:$BG$9,39,FALSE)</f>
        <v>金額</v>
      </c>
      <c r="H22" s="221" t="str">
        <f>VLOOKUP(H21,工作表2!$A$5:$BG$9,40,FALSE)</f>
        <v>金額</v>
      </c>
      <c r="I22" s="221" t="str">
        <f>VLOOKUP(I21,工作表2!$A$5:$BG$9,41,FALSE)</f>
        <v>金額</v>
      </c>
      <c r="J22" s="221" t="str">
        <f>VLOOKUP(J21,工作表2!$A$5:$BG$9,42,FALSE)</f>
        <v>金額</v>
      </c>
      <c r="K22" s="221" t="str">
        <f>VLOOKUP(K21,工作表2!$A$5:$BG$9,43,FALSE)</f>
        <v>金額</v>
      </c>
      <c r="L22" s="221" t="str">
        <f>VLOOKUP(L21,工作表2!$A$5:$BG$9,44,FALSE)</f>
        <v>金額</v>
      </c>
      <c r="M22" s="213" t="str">
        <f>VLOOKUP(M21,工作表2!$A$5:$BG$9,45,FALSE)</f>
        <v>金額</v>
      </c>
      <c r="N22" s="221" t="str">
        <f>VLOOKUP(N21,工作表2!$A$15:$I$19,6,FALSE)</f>
        <v>金額</v>
      </c>
      <c r="O22" s="231" t="str">
        <f>VLOOKUP(O21,工作表2!$A$15:$I$19,7,FALSE)</f>
        <v>金額</v>
      </c>
      <c r="P22" s="547"/>
      <c r="Q22" s="554"/>
      <c r="R22" s="553"/>
      <c r="S22" s="541"/>
      <c r="V22" s="362"/>
      <c r="W22" s="358"/>
      <c r="X22" s="544"/>
      <c r="Y22" s="356"/>
      <c r="Z22" s="358"/>
      <c r="AA22" s="544"/>
      <c r="AB22" s="356"/>
      <c r="AC22" s="358"/>
      <c r="AD22" s="544"/>
      <c r="AE22" s="356"/>
      <c r="AF22" s="358"/>
      <c r="AG22" s="356"/>
      <c r="AH22" s="2"/>
      <c r="AI22" s="2"/>
      <c r="AJ22" s="2"/>
      <c r="AK22" s="2"/>
      <c r="AL22" s="2"/>
      <c r="AM22" s="2"/>
      <c r="AN22" s="2"/>
    </row>
    <row r="23" spans="1:40">
      <c r="A23" s="465"/>
      <c r="B23" s="592" t="s">
        <v>198</v>
      </c>
      <c r="C23" s="262" t="s">
        <v>232</v>
      </c>
      <c r="D23" s="577"/>
      <c r="E23" s="578"/>
      <c r="F23" s="264" t="s">
        <v>88</v>
      </c>
      <c r="G23" s="264" t="s">
        <v>88</v>
      </c>
      <c r="H23" s="264" t="s">
        <v>88</v>
      </c>
      <c r="I23" s="264" t="s">
        <v>88</v>
      </c>
      <c r="J23" s="264" t="s">
        <v>88</v>
      </c>
      <c r="K23" s="264" t="s">
        <v>88</v>
      </c>
      <c r="L23" s="264" t="s">
        <v>88</v>
      </c>
      <c r="M23" s="265" t="s">
        <v>88</v>
      </c>
      <c r="N23" s="266" t="s">
        <v>88</v>
      </c>
      <c r="O23" s="267" t="s">
        <v>88</v>
      </c>
      <c r="P23" s="546">
        <f>SUM(F24:O24)</f>
        <v>0</v>
      </c>
      <c r="Q23" s="552">
        <f>P23*J9</f>
        <v>0</v>
      </c>
      <c r="R23" s="553"/>
      <c r="S23" s="540">
        <f>P23*J8</f>
        <v>0</v>
      </c>
      <c r="V23" s="362" t="s">
        <v>97</v>
      </c>
      <c r="W23" s="358">
        <f>SUMIF(F23:O23,"康軒",F24:O24)*J9+AI23+AI24</f>
        <v>0</v>
      </c>
      <c r="X23" s="544">
        <f>SUMIF(D48:F48,"康軒",D51:F51)</f>
        <v>0</v>
      </c>
      <c r="Y23" s="356">
        <f>SUMIF(F23:O23,"康軒",F24:O24)*J8+AJ23+AJ24</f>
        <v>0</v>
      </c>
      <c r="Z23" s="358">
        <f>SUMIF(F23:O23,"翰林",F24:O24)*J9</f>
        <v>0</v>
      </c>
      <c r="AA23" s="544">
        <f>SUMIF(D48:F48,"翰林",D51:F51)</f>
        <v>0</v>
      </c>
      <c r="AB23" s="356">
        <f>SUMIF(F23:O23,"翰林",F24:O24)*J8</f>
        <v>0</v>
      </c>
      <c r="AC23" s="358">
        <f>SUMIF(F23:O23,"南一",F24:O24)*J9</f>
        <v>0</v>
      </c>
      <c r="AD23" s="544">
        <f>SUMIF(D48:F48,"南一",D51:F51)</f>
        <v>0</v>
      </c>
      <c r="AE23" s="356">
        <f>SUMIF(F23:O23,"南一",F24:O24)*J8</f>
        <v>0</v>
      </c>
      <c r="AF23" s="358">
        <f>SUMIF(F23:O23,"何嘉仁",F24:O24)*J9</f>
        <v>0</v>
      </c>
      <c r="AG23" s="356">
        <f>SUMIF(F23:O23,"何嘉仁",F24:O24)*J8</f>
        <v>0</v>
      </c>
      <c r="AH23" s="2"/>
      <c r="AI23" s="2"/>
      <c r="AJ23" s="2"/>
      <c r="AK23" s="2"/>
      <c r="AL23" s="2"/>
      <c r="AM23" s="2"/>
      <c r="AN23" s="2"/>
    </row>
    <row r="24" spans="1:40" ht="17.25" thickBot="1">
      <c r="A24" s="466"/>
      <c r="B24" s="606"/>
      <c r="C24" s="263" t="s">
        <v>233</v>
      </c>
      <c r="D24" s="610"/>
      <c r="E24" s="611"/>
      <c r="F24" s="222" t="str">
        <f>VLOOKUP(F23,工作表2!$A$5:$BG$9,49,FALSE)</f>
        <v>金額</v>
      </c>
      <c r="G24" s="222" t="str">
        <f>VLOOKUP(G23,工作表2!$A$5:$BG$9,50,FALSE)</f>
        <v>金額</v>
      </c>
      <c r="H24" s="222" t="str">
        <f>VLOOKUP(H23,工作表2!$A$5:$BG$9,51,FALSE)</f>
        <v>金額</v>
      </c>
      <c r="I24" s="222" t="str">
        <f>VLOOKUP(I23,工作表2!$A$5:$BG$9,52,FALSE)</f>
        <v>金額</v>
      </c>
      <c r="J24" s="222" t="str">
        <f>VLOOKUP(J23,工作表2!$A$5:$BG$9,53,FALSE)</f>
        <v>金額</v>
      </c>
      <c r="K24" s="222" t="str">
        <f>VLOOKUP(K23,工作表2!$A$5:$BG$9,54,FALSE)</f>
        <v>金額</v>
      </c>
      <c r="L24" s="222" t="str">
        <f>VLOOKUP(L23,工作表2!$A$5:$BG$9,55,FALSE)</f>
        <v>金額</v>
      </c>
      <c r="M24" s="214" t="str">
        <f>VLOOKUP(M23,工作表2!$A$5:$BG$9,56,FALSE)</f>
        <v>金額</v>
      </c>
      <c r="N24" s="221" t="str">
        <f>VLOOKUP(N23,工作表2!$A$15:$I$19,8,FALSE)</f>
        <v>金額</v>
      </c>
      <c r="O24" s="231" t="str">
        <f>VLOOKUP(O23,工作表2!$A$15:$I$19,9,FALSE)</f>
        <v>金額</v>
      </c>
      <c r="P24" s="547"/>
      <c r="Q24" s="554"/>
      <c r="R24" s="553"/>
      <c r="S24" s="541"/>
      <c r="V24" s="362"/>
      <c r="W24" s="358"/>
      <c r="X24" s="544"/>
      <c r="Y24" s="356"/>
      <c r="Z24" s="358"/>
      <c r="AA24" s="544"/>
      <c r="AB24" s="356"/>
      <c r="AC24" s="358"/>
      <c r="AD24" s="544"/>
      <c r="AE24" s="356"/>
      <c r="AF24" s="358"/>
      <c r="AG24" s="356"/>
      <c r="AH24" s="2"/>
      <c r="AI24" s="2"/>
      <c r="AJ24" s="2"/>
      <c r="AK24" s="2"/>
      <c r="AL24" s="2"/>
      <c r="AM24" s="2"/>
      <c r="AN24" s="2"/>
    </row>
    <row r="25" spans="1:40" ht="33" customHeight="1" thickBot="1">
      <c r="A25" s="241"/>
      <c r="B25" s="211"/>
      <c r="C25" s="211"/>
      <c r="D25" s="211"/>
      <c r="E25" s="211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68" t="s">
        <v>183</v>
      </c>
      <c r="Q25" s="548">
        <f>SUM(Q13:R24)</f>
        <v>0</v>
      </c>
      <c r="R25" s="549"/>
      <c r="S25" s="302">
        <f>SUM(S13:S24)</f>
        <v>0</v>
      </c>
      <c r="V25" s="144" t="s">
        <v>9</v>
      </c>
      <c r="W25" s="147">
        <f t="shared" ref="W25:AG25" si="1">SUM(W13:W24)</f>
        <v>0</v>
      </c>
      <c r="X25" s="239">
        <f t="shared" si="1"/>
        <v>0</v>
      </c>
      <c r="Y25" s="161">
        <f t="shared" si="1"/>
        <v>0</v>
      </c>
      <c r="Z25" s="147">
        <f t="shared" si="1"/>
        <v>0</v>
      </c>
      <c r="AA25" s="239">
        <f t="shared" si="1"/>
        <v>0</v>
      </c>
      <c r="AB25" s="161">
        <f t="shared" si="1"/>
        <v>0</v>
      </c>
      <c r="AC25" s="147">
        <f t="shared" si="1"/>
        <v>0</v>
      </c>
      <c r="AD25" s="239">
        <f t="shared" si="1"/>
        <v>0</v>
      </c>
      <c r="AE25" s="161">
        <f t="shared" si="1"/>
        <v>0</v>
      </c>
      <c r="AF25" s="147">
        <f t="shared" si="1"/>
        <v>0</v>
      </c>
      <c r="AG25" s="161">
        <f t="shared" si="1"/>
        <v>0</v>
      </c>
      <c r="AH25" s="2"/>
      <c r="AI25" s="2"/>
      <c r="AJ25" s="2"/>
      <c r="AK25" s="2"/>
      <c r="AL25" s="2"/>
      <c r="AM25" s="2"/>
      <c r="AN25" s="2"/>
    </row>
    <row r="26" spans="1:40" ht="24" customHeight="1">
      <c r="A26" s="595" t="s">
        <v>199</v>
      </c>
      <c r="B26" s="601" t="s">
        <v>231</v>
      </c>
      <c r="C26" s="602"/>
      <c r="D26" s="581" t="s">
        <v>215</v>
      </c>
      <c r="E26" s="581" t="s">
        <v>216</v>
      </c>
      <c r="F26" s="608" t="s">
        <v>217</v>
      </c>
      <c r="G26" s="542" t="s">
        <v>200</v>
      </c>
      <c r="H26" s="543"/>
      <c r="I26" s="215"/>
      <c r="J26" s="228"/>
      <c r="K26" s="229"/>
      <c r="L26" s="229"/>
      <c r="M26" s="230"/>
      <c r="V26" s="237" t="s">
        <v>242</v>
      </c>
      <c r="W26" s="545">
        <f>SUM(W25:Y25)</f>
        <v>0</v>
      </c>
      <c r="X26" s="531"/>
      <c r="Y26" s="531"/>
      <c r="Z26" s="531">
        <f>SUM(Z25:AB25)</f>
        <v>0</v>
      </c>
      <c r="AA26" s="531"/>
      <c r="AB26" s="531"/>
      <c r="AC26" s="531">
        <f>SUM(AC25:AE25)</f>
        <v>0</v>
      </c>
      <c r="AD26" s="531"/>
      <c r="AE26" s="531"/>
      <c r="AF26" s="531">
        <f>SUM(AF25:AG25)</f>
        <v>0</v>
      </c>
      <c r="AG26" s="531"/>
      <c r="AH26" s="2"/>
      <c r="AI26" s="2"/>
      <c r="AJ26" s="2"/>
      <c r="AK26" s="2"/>
      <c r="AL26" s="2"/>
      <c r="AM26" s="2"/>
      <c r="AN26" s="2"/>
    </row>
    <row r="27" spans="1:40">
      <c r="A27" s="596"/>
      <c r="B27" s="603"/>
      <c r="C27" s="604"/>
      <c r="D27" s="607"/>
      <c r="E27" s="607"/>
      <c r="F27" s="609"/>
      <c r="G27" s="501"/>
      <c r="H27" s="506"/>
      <c r="J27" s="210" t="s">
        <v>205</v>
      </c>
      <c r="AH27" s="2"/>
      <c r="AI27" s="2"/>
      <c r="AJ27" s="2"/>
      <c r="AK27" s="2"/>
      <c r="AL27" s="2"/>
      <c r="AM27" s="2"/>
      <c r="AN27" s="2"/>
    </row>
    <row r="28" spans="1:40" ht="16.899999999999999" customHeight="1">
      <c r="A28" s="596"/>
      <c r="B28" s="598" t="s">
        <v>201</v>
      </c>
      <c r="C28" s="262" t="s">
        <v>232</v>
      </c>
      <c r="D28" s="264" t="s">
        <v>88</v>
      </c>
      <c r="E28" s="599"/>
      <c r="F28" s="599"/>
      <c r="G28" s="532" t="e">
        <f>D31</f>
        <v>#VALUE!</v>
      </c>
      <c r="H28" s="533"/>
      <c r="J28" s="210" t="s">
        <v>206</v>
      </c>
    </row>
    <row r="29" spans="1:40" ht="16.899999999999999" customHeight="1">
      <c r="A29" s="596"/>
      <c r="B29" s="598"/>
      <c r="C29" s="262" t="s">
        <v>233</v>
      </c>
      <c r="D29" s="220" t="str">
        <f>VLOOKUP(D28,工作表2!$A$5:$BG$9,8,FALSE)</f>
        <v>金額</v>
      </c>
      <c r="E29" s="600"/>
      <c r="F29" s="600"/>
      <c r="G29" s="534"/>
      <c r="H29" s="535"/>
    </row>
    <row r="30" spans="1:40" ht="16.899999999999999" customHeight="1">
      <c r="A30" s="596"/>
      <c r="B30" s="598"/>
      <c r="C30" s="261" t="s">
        <v>234</v>
      </c>
      <c r="D30" s="299"/>
      <c r="E30" s="600"/>
      <c r="F30" s="600"/>
      <c r="G30" s="534"/>
      <c r="H30" s="535"/>
      <c r="J30" s="210" t="s">
        <v>267</v>
      </c>
      <c r="P30"/>
      <c r="Q30"/>
      <c r="R30"/>
      <c r="S30"/>
      <c r="T30"/>
    </row>
    <row r="31" spans="1:40" ht="17.649999999999999" customHeight="1">
      <c r="A31" s="596"/>
      <c r="B31" s="598"/>
      <c r="C31" s="262" t="s">
        <v>235</v>
      </c>
      <c r="D31" s="235" t="e">
        <f>D29*D30</f>
        <v>#VALUE!</v>
      </c>
      <c r="E31" s="600"/>
      <c r="F31" s="600"/>
      <c r="G31" s="536"/>
      <c r="H31" s="537"/>
      <c r="J31" s="210" t="s">
        <v>207</v>
      </c>
    </row>
    <row r="32" spans="1:40" ht="16.899999999999999" customHeight="1">
      <c r="A32" s="596"/>
      <c r="B32" s="598" t="s">
        <v>194</v>
      </c>
      <c r="C32" s="262" t="s">
        <v>232</v>
      </c>
      <c r="D32" s="264" t="s">
        <v>88</v>
      </c>
      <c r="E32" s="599"/>
      <c r="F32" s="599"/>
      <c r="G32" s="532" t="e">
        <f>D35</f>
        <v>#VALUE!</v>
      </c>
      <c r="H32" s="533"/>
      <c r="J32" s="210" t="s">
        <v>208</v>
      </c>
    </row>
    <row r="33" spans="1:16" ht="16.899999999999999" customHeight="1">
      <c r="A33" s="596"/>
      <c r="B33" s="598"/>
      <c r="C33" s="262" t="s">
        <v>233</v>
      </c>
      <c r="D33" s="221" t="str">
        <f>VLOOKUP(D32,工作表2!$A$5:$BG$9,15,FALSE)</f>
        <v>金額</v>
      </c>
      <c r="E33" s="600"/>
      <c r="F33" s="600"/>
      <c r="G33" s="534"/>
      <c r="H33" s="535"/>
    </row>
    <row r="34" spans="1:16" ht="16.899999999999999" customHeight="1">
      <c r="A34" s="596"/>
      <c r="B34" s="598"/>
      <c r="C34" s="261" t="s">
        <v>234</v>
      </c>
      <c r="D34" s="300"/>
      <c r="E34" s="600"/>
      <c r="F34" s="600"/>
      <c r="G34" s="534"/>
      <c r="H34" s="535"/>
    </row>
    <row r="35" spans="1:16" ht="16.899999999999999" customHeight="1">
      <c r="A35" s="596"/>
      <c r="B35" s="598"/>
      <c r="C35" s="262" t="s">
        <v>235</v>
      </c>
      <c r="D35" s="235" t="e">
        <f>D33*D34</f>
        <v>#VALUE!</v>
      </c>
      <c r="E35" s="600"/>
      <c r="F35" s="600"/>
      <c r="G35" s="536"/>
      <c r="H35" s="537"/>
    </row>
    <row r="36" spans="1:16" ht="16.899999999999999" customHeight="1">
      <c r="A36" s="596"/>
      <c r="B36" s="598" t="s">
        <v>195</v>
      </c>
      <c r="C36" s="262" t="s">
        <v>232</v>
      </c>
      <c r="D36" s="264" t="s">
        <v>88</v>
      </c>
      <c r="E36" s="264" t="s">
        <v>88</v>
      </c>
      <c r="F36" s="264" t="s">
        <v>88</v>
      </c>
      <c r="G36" s="532" t="e">
        <f>SUM(D39:F39)</f>
        <v>#VALUE!</v>
      </c>
      <c r="H36" s="533"/>
      <c r="K36" s="555" t="s">
        <v>238</v>
      </c>
      <c r="L36" s="557"/>
      <c r="M36" s="557"/>
      <c r="N36" s="630"/>
      <c r="O36" s="631"/>
      <c r="P36" s="632"/>
    </row>
    <row r="37" spans="1:16" ht="16.899999999999999" customHeight="1">
      <c r="A37" s="596"/>
      <c r="B37" s="598"/>
      <c r="C37" s="262" t="s">
        <v>233</v>
      </c>
      <c r="D37" s="221" t="str">
        <f>VLOOKUP(D36,工作表2!$A$5:$BG$9,24,FALSE)</f>
        <v>金額</v>
      </c>
      <c r="E37" s="221" t="str">
        <f>VLOOKUP(E36,工作表2!$A$5:$BG$9,25,FALSE)</f>
        <v>金額</v>
      </c>
      <c r="F37" s="221" t="str">
        <f>VLOOKUP(F36,工作表2!$A$5:$BG$9,26,FALSE)</f>
        <v>金額</v>
      </c>
      <c r="G37" s="534"/>
      <c r="H37" s="535"/>
      <c r="K37" s="557"/>
      <c r="L37" s="557"/>
      <c r="M37" s="557"/>
      <c r="N37" s="631"/>
      <c r="O37" s="631"/>
      <c r="P37" s="632"/>
    </row>
    <row r="38" spans="1:16" ht="16.899999999999999" customHeight="1">
      <c r="A38" s="596"/>
      <c r="B38" s="598"/>
      <c r="C38" s="261" t="s">
        <v>234</v>
      </c>
      <c r="D38" s="300"/>
      <c r="E38" s="300"/>
      <c r="F38" s="300"/>
      <c r="G38" s="534"/>
      <c r="H38" s="535"/>
      <c r="K38" s="557"/>
      <c r="L38" s="557"/>
      <c r="M38" s="557"/>
      <c r="N38" s="631"/>
      <c r="O38" s="631"/>
      <c r="P38" s="632"/>
    </row>
    <row r="39" spans="1:16" ht="16.899999999999999" customHeight="1">
      <c r="A39" s="596"/>
      <c r="B39" s="598"/>
      <c r="C39" s="262" t="s">
        <v>235</v>
      </c>
      <c r="D39" s="235" t="e">
        <f>D37*D38</f>
        <v>#VALUE!</v>
      </c>
      <c r="E39" s="235" t="e">
        <f>E37*E38</f>
        <v>#VALUE!</v>
      </c>
      <c r="F39" s="235" t="e">
        <f>F37*F38</f>
        <v>#VALUE!</v>
      </c>
      <c r="G39" s="536"/>
      <c r="H39" s="537"/>
      <c r="K39" s="555" t="s">
        <v>239</v>
      </c>
      <c r="L39" s="557"/>
      <c r="M39" s="557"/>
      <c r="N39" s="633">
        <f>Q25</f>
        <v>0</v>
      </c>
      <c r="O39" s="631"/>
      <c r="P39" s="632"/>
    </row>
    <row r="40" spans="1:16" ht="16.899999999999999" customHeight="1">
      <c r="A40" s="596"/>
      <c r="B40" s="598" t="s">
        <v>202</v>
      </c>
      <c r="C40" s="262" t="s">
        <v>232</v>
      </c>
      <c r="D40" s="264" t="s">
        <v>88</v>
      </c>
      <c r="E40" s="264" t="s">
        <v>88</v>
      </c>
      <c r="F40" s="264" t="s">
        <v>88</v>
      </c>
      <c r="G40" s="532" t="e">
        <f>SUM(D43:F43)</f>
        <v>#VALUE!</v>
      </c>
      <c r="H40" s="533"/>
      <c r="K40" s="557"/>
      <c r="L40" s="557"/>
      <c r="M40" s="557"/>
      <c r="N40" s="631"/>
      <c r="O40" s="631"/>
      <c r="P40" s="632"/>
    </row>
    <row r="41" spans="1:16" ht="16.899999999999999" customHeight="1">
      <c r="A41" s="596"/>
      <c r="B41" s="598"/>
      <c r="C41" s="262" t="s">
        <v>233</v>
      </c>
      <c r="D41" s="221" t="str">
        <f>VLOOKUP(D40,工作表2!$A$5:$BG$9,35,FALSE)</f>
        <v>金額</v>
      </c>
      <c r="E41" s="221" t="str">
        <f>VLOOKUP(E40,工作表2!$A$5:$BG$9,36,FALSE)</f>
        <v>金額</v>
      </c>
      <c r="F41" s="221" t="str">
        <f>VLOOKUP(F40,工作表2!$A$5:$BG$9,37,FALSE)</f>
        <v>金額</v>
      </c>
      <c r="G41" s="534"/>
      <c r="H41" s="535"/>
      <c r="K41" s="555" t="s">
        <v>240</v>
      </c>
      <c r="L41" s="557"/>
      <c r="M41" s="557"/>
      <c r="N41" s="634" t="e">
        <f>SUM(G28:H51)</f>
        <v>#VALUE!</v>
      </c>
      <c r="O41" s="635"/>
      <c r="P41" s="632"/>
    </row>
    <row r="42" spans="1:16" ht="16.899999999999999" customHeight="1" thickBot="1">
      <c r="A42" s="596"/>
      <c r="B42" s="598"/>
      <c r="C42" s="261" t="s">
        <v>234</v>
      </c>
      <c r="D42" s="300"/>
      <c r="E42" s="300"/>
      <c r="F42" s="300"/>
      <c r="G42" s="534"/>
      <c r="H42" s="535"/>
      <c r="K42" s="625"/>
      <c r="L42" s="625"/>
      <c r="M42" s="625"/>
      <c r="N42" s="636"/>
      <c r="O42" s="636"/>
      <c r="P42" s="637"/>
    </row>
    <row r="43" spans="1:16" ht="16.899999999999999" customHeight="1">
      <c r="A43" s="596"/>
      <c r="B43" s="598"/>
      <c r="C43" s="262" t="s">
        <v>235</v>
      </c>
      <c r="D43" s="235" t="e">
        <f>D41*D42</f>
        <v>#VALUE!</v>
      </c>
      <c r="E43" s="235" t="e">
        <f t="shared" ref="E43:F43" si="2">E41*E42</f>
        <v>#VALUE!</v>
      </c>
      <c r="F43" s="235" t="e">
        <f t="shared" si="2"/>
        <v>#VALUE!</v>
      </c>
      <c r="G43" s="536"/>
      <c r="H43" s="537"/>
      <c r="K43" s="626" t="s">
        <v>218</v>
      </c>
      <c r="L43" s="627"/>
      <c r="M43" s="627"/>
      <c r="N43" s="638" t="e">
        <f>SUM(N36:P42)</f>
        <v>#VALUE!</v>
      </c>
      <c r="O43" s="639"/>
      <c r="P43" s="640"/>
    </row>
    <row r="44" spans="1:16" ht="16.899999999999999" customHeight="1" thickBot="1">
      <c r="A44" s="596"/>
      <c r="B44" s="598" t="s">
        <v>203</v>
      </c>
      <c r="C44" s="262" t="s">
        <v>232</v>
      </c>
      <c r="D44" s="264" t="s">
        <v>88</v>
      </c>
      <c r="E44" s="264" t="s">
        <v>88</v>
      </c>
      <c r="F44" s="264" t="s">
        <v>88</v>
      </c>
      <c r="G44" s="532" t="e">
        <f>SUM(D47:F47)</f>
        <v>#VALUE!</v>
      </c>
      <c r="H44" s="533"/>
      <c r="K44" s="628"/>
      <c r="L44" s="629"/>
      <c r="M44" s="629"/>
      <c r="N44" s="641"/>
      <c r="O44" s="641"/>
      <c r="P44" s="642"/>
    </row>
    <row r="45" spans="1:16" ht="16.899999999999999" customHeight="1">
      <c r="A45" s="596"/>
      <c r="B45" s="598"/>
      <c r="C45" s="262" t="s">
        <v>233</v>
      </c>
      <c r="D45" s="221" t="str">
        <f>VLOOKUP(D44,工作表2!$A$5:$BG$9,46,FALSE)</f>
        <v>金額</v>
      </c>
      <c r="E45" s="221" t="str">
        <f>VLOOKUP(E44,工作表2!$A$5:$BG$9,47,FALSE)</f>
        <v>金額</v>
      </c>
      <c r="F45" s="221" t="str">
        <f>VLOOKUP(F44,工作表2!$A$5:$BG$9,48,FALSE)</f>
        <v>金額</v>
      </c>
      <c r="G45" s="534"/>
      <c r="H45" s="535"/>
    </row>
    <row r="46" spans="1:16" ht="16.899999999999999" customHeight="1">
      <c r="A46" s="596"/>
      <c r="B46" s="598"/>
      <c r="C46" s="261" t="s">
        <v>234</v>
      </c>
      <c r="D46" s="300"/>
      <c r="E46" s="300"/>
      <c r="F46" s="300"/>
      <c r="G46" s="534"/>
      <c r="H46" s="535"/>
    </row>
    <row r="47" spans="1:16" ht="16.899999999999999" customHeight="1">
      <c r="A47" s="596"/>
      <c r="B47" s="598"/>
      <c r="C47" s="262" t="s">
        <v>235</v>
      </c>
      <c r="D47" s="235" t="e">
        <f>D45*D46</f>
        <v>#VALUE!</v>
      </c>
      <c r="E47" s="235" t="e">
        <f t="shared" ref="E47:F47" si="3">E45*E46</f>
        <v>#VALUE!</v>
      </c>
      <c r="F47" s="235" t="e">
        <f t="shared" si="3"/>
        <v>#VALUE!</v>
      </c>
      <c r="G47" s="536"/>
      <c r="H47" s="537"/>
    </row>
    <row r="48" spans="1:16" ht="16.350000000000001" customHeight="1">
      <c r="A48" s="596"/>
      <c r="B48" s="598" t="s">
        <v>204</v>
      </c>
      <c r="C48" s="262" t="s">
        <v>232</v>
      </c>
      <c r="D48" s="264" t="s">
        <v>88</v>
      </c>
      <c r="E48" s="264" t="s">
        <v>88</v>
      </c>
      <c r="F48" s="264" t="s">
        <v>88</v>
      </c>
      <c r="G48" s="532" t="e">
        <f>SUM(D51:F51)</f>
        <v>#VALUE!</v>
      </c>
      <c r="H48" s="533"/>
    </row>
    <row r="49" spans="1:41" ht="16.350000000000001" customHeight="1">
      <c r="A49" s="596"/>
      <c r="B49" s="598"/>
      <c r="C49" s="262" t="s">
        <v>233</v>
      </c>
      <c r="D49" s="221" t="str">
        <f>VLOOKUP(D48,工作表2!$A$5:$BG$9,57,FALSE)</f>
        <v>金額</v>
      </c>
      <c r="E49" s="221" t="str">
        <f>VLOOKUP(E48,工作表2!$A$5:$BG$9,58,FALSE)</f>
        <v>金額</v>
      </c>
      <c r="F49" s="221" t="str">
        <f>VLOOKUP(F48,工作表2!$A$5:$BG$9,59,FALSE)</f>
        <v>金額</v>
      </c>
      <c r="G49" s="534"/>
      <c r="H49" s="535"/>
    </row>
    <row r="50" spans="1:41" ht="16.350000000000001" customHeight="1">
      <c r="A50" s="596"/>
      <c r="B50" s="598"/>
      <c r="C50" s="261" t="s">
        <v>234</v>
      </c>
      <c r="D50" s="300"/>
      <c r="E50" s="300"/>
      <c r="F50" s="300"/>
      <c r="G50" s="534"/>
      <c r="H50" s="535"/>
    </row>
    <row r="51" spans="1:41" ht="16.5" customHeight="1" thickBot="1">
      <c r="A51" s="597"/>
      <c r="B51" s="605"/>
      <c r="C51" s="263" t="s">
        <v>235</v>
      </c>
      <c r="D51" s="236" t="e">
        <f>D49*D50</f>
        <v>#VALUE!</v>
      </c>
      <c r="E51" s="236" t="e">
        <f t="shared" ref="E51:F51" si="4">E49*E50</f>
        <v>#VALUE!</v>
      </c>
      <c r="F51" s="236" t="e">
        <f t="shared" si="4"/>
        <v>#VALUE!</v>
      </c>
      <c r="G51" s="538"/>
      <c r="H51" s="539"/>
    </row>
    <row r="52" spans="1:41" ht="21.95" customHeight="1">
      <c r="A52" s="217" t="s">
        <v>209</v>
      </c>
      <c r="B52" s="217"/>
      <c r="C52" s="217"/>
      <c r="D52" s="217"/>
      <c r="E52" s="217"/>
      <c r="F52" s="217"/>
      <c r="G52" s="217" t="s">
        <v>210</v>
      </c>
      <c r="H52" s="217"/>
      <c r="I52" s="217"/>
      <c r="J52" s="217"/>
      <c r="K52" s="217"/>
      <c r="L52" s="217" t="s">
        <v>211</v>
      </c>
      <c r="M52" s="217"/>
      <c r="N52" s="217"/>
      <c r="O52" s="217"/>
      <c r="P52" s="217"/>
      <c r="Q52" s="217"/>
      <c r="R52" s="217" t="s">
        <v>212</v>
      </c>
      <c r="S52" s="218"/>
      <c r="V52" s="145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</row>
    <row r="54" spans="1:41" ht="41.25" customHeight="1"/>
    <row r="55" spans="1:41" customFormat="1" ht="60" customHeight="1" thickBot="1">
      <c r="A55" s="623" t="s">
        <v>260</v>
      </c>
      <c r="B55" s="624"/>
      <c r="C55" s="624"/>
      <c r="D55" s="624"/>
      <c r="E55" s="624"/>
      <c r="F55" s="624"/>
      <c r="G55" s="624"/>
      <c r="H55" s="624"/>
      <c r="I55" s="624"/>
      <c r="J55" s="624"/>
      <c r="K55" s="624"/>
      <c r="L55" s="624"/>
      <c r="M55" s="624"/>
      <c r="N55" s="624"/>
      <c r="O55" s="624"/>
      <c r="P55" s="624"/>
      <c r="Q55" s="624"/>
      <c r="R55" s="624"/>
      <c r="S55" s="624"/>
      <c r="T55" s="159"/>
    </row>
    <row r="56" spans="1:41" customFormat="1" ht="34.5" customHeight="1" thickBot="1">
      <c r="A56" s="485" t="s">
        <v>140</v>
      </c>
      <c r="B56" s="486"/>
      <c r="C56" s="486"/>
      <c r="D56" s="486"/>
      <c r="E56" s="486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7"/>
      <c r="U56" s="210"/>
      <c r="W56" s="358" t="s">
        <v>138</v>
      </c>
      <c r="X56" s="473"/>
      <c r="Y56" s="473"/>
      <c r="Z56" s="473"/>
      <c r="AA56" s="473"/>
      <c r="AI56" s="210"/>
      <c r="AJ56" s="210"/>
      <c r="AK56" s="210"/>
      <c r="AL56" s="210"/>
      <c r="AM56" s="210"/>
      <c r="AN56" s="210"/>
      <c r="AO56" s="210"/>
    </row>
    <row r="57" spans="1:41" customFormat="1" ht="33" customHeight="1">
      <c r="A57" s="488" t="s">
        <v>225</v>
      </c>
      <c r="B57" s="489"/>
      <c r="C57" s="520" t="s">
        <v>48</v>
      </c>
      <c r="D57" s="521"/>
      <c r="E57" s="522" t="s">
        <v>49</v>
      </c>
      <c r="F57" s="521"/>
      <c r="G57" s="522" t="s">
        <v>50</v>
      </c>
      <c r="H57" s="521"/>
      <c r="I57" s="522" t="s">
        <v>91</v>
      </c>
      <c r="J57" s="521"/>
      <c r="K57" s="523" t="s">
        <v>51</v>
      </c>
      <c r="L57" s="524"/>
      <c r="M57" s="522" t="s">
        <v>52</v>
      </c>
      <c r="N57" s="525"/>
      <c r="O57" s="188" t="s">
        <v>105</v>
      </c>
      <c r="P57" s="189" t="s">
        <v>104</v>
      </c>
      <c r="Q57" s="190" t="s">
        <v>103</v>
      </c>
      <c r="R57" s="507" t="s">
        <v>142</v>
      </c>
      <c r="S57" s="509" t="s">
        <v>151</v>
      </c>
      <c r="U57" s="210"/>
      <c r="V57" s="146"/>
      <c r="W57" s="148" t="s">
        <v>36</v>
      </c>
      <c r="X57" s="150" t="s">
        <v>10</v>
      </c>
      <c r="Y57" s="149" t="s">
        <v>11</v>
      </c>
      <c r="Z57" s="151" t="s">
        <v>127</v>
      </c>
      <c r="AA57" s="2"/>
      <c r="AB57" s="2"/>
      <c r="AC57" s="2"/>
      <c r="AD57" s="2"/>
      <c r="AE57" s="2"/>
      <c r="AI57" s="210"/>
      <c r="AJ57" s="210"/>
      <c r="AK57" s="210"/>
      <c r="AL57" s="210"/>
      <c r="AM57" s="210"/>
      <c r="AN57" s="210"/>
      <c r="AO57" s="210"/>
    </row>
    <row r="58" spans="1:41" customFormat="1" ht="21" customHeight="1">
      <c r="A58" s="490"/>
      <c r="B58" s="491"/>
      <c r="C58" s="180" t="s">
        <v>53</v>
      </c>
      <c r="D58" s="163" t="s">
        <v>54</v>
      </c>
      <c r="E58" s="163" t="s">
        <v>53</v>
      </c>
      <c r="F58" s="163" t="s">
        <v>54</v>
      </c>
      <c r="G58" s="163" t="s">
        <v>53</v>
      </c>
      <c r="H58" s="163" t="s">
        <v>54</v>
      </c>
      <c r="I58" s="163" t="s">
        <v>53</v>
      </c>
      <c r="J58" s="163" t="s">
        <v>54</v>
      </c>
      <c r="K58" s="163" t="s">
        <v>53</v>
      </c>
      <c r="L58" s="163" t="s">
        <v>54</v>
      </c>
      <c r="M58" s="163" t="s">
        <v>53</v>
      </c>
      <c r="N58" s="321" t="s">
        <v>54</v>
      </c>
      <c r="O58" s="191" t="s">
        <v>53</v>
      </c>
      <c r="P58" s="162" t="s">
        <v>53</v>
      </c>
      <c r="Q58" s="192" t="s">
        <v>53</v>
      </c>
      <c r="R58" s="508"/>
      <c r="S58" s="510"/>
      <c r="U58" s="210"/>
      <c r="W58" s="146" t="s">
        <v>143</v>
      </c>
      <c r="X58" s="146" t="s">
        <v>143</v>
      </c>
      <c r="Y58" s="146" t="s">
        <v>143</v>
      </c>
      <c r="Z58" s="146" t="s">
        <v>143</v>
      </c>
      <c r="AA58" s="2"/>
      <c r="AB58" s="2"/>
      <c r="AC58" s="2"/>
      <c r="AD58" s="2"/>
      <c r="AE58" s="2"/>
      <c r="AI58" s="210"/>
      <c r="AJ58" s="210"/>
      <c r="AK58" s="210"/>
      <c r="AL58" s="210"/>
      <c r="AM58" s="210"/>
      <c r="AN58" s="210"/>
      <c r="AO58" s="210"/>
    </row>
    <row r="59" spans="1:41" customFormat="1" ht="21" customHeight="1">
      <c r="A59" s="427" t="s">
        <v>219</v>
      </c>
      <c r="B59" s="232" t="s">
        <v>68</v>
      </c>
      <c r="C59" s="308" t="str">
        <f t="shared" ref="C59:H59" si="5">D13</f>
        <v>版本</v>
      </c>
      <c r="D59" s="310" t="str">
        <f t="shared" si="5"/>
        <v>版本</v>
      </c>
      <c r="E59" s="310" t="str">
        <f t="shared" si="5"/>
        <v>版本</v>
      </c>
      <c r="F59" s="310" t="str">
        <f t="shared" si="5"/>
        <v>版本</v>
      </c>
      <c r="G59" s="310" t="str">
        <f t="shared" si="5"/>
        <v>版本</v>
      </c>
      <c r="H59" s="310" t="str">
        <f t="shared" si="5"/>
        <v>版本</v>
      </c>
      <c r="I59" s="504">
        <v>0</v>
      </c>
      <c r="J59" s="501"/>
      <c r="K59" s="504">
        <v>0</v>
      </c>
      <c r="L59" s="501"/>
      <c r="M59" s="504">
        <v>0</v>
      </c>
      <c r="N59" s="505"/>
      <c r="O59" s="311" t="str">
        <f>D28</f>
        <v>版本</v>
      </c>
      <c r="P59" s="504">
        <v>0</v>
      </c>
      <c r="Q59" s="506"/>
      <c r="R59" s="511">
        <f>SUM(C63:O63)</f>
        <v>0</v>
      </c>
      <c r="S59" s="514" t="e">
        <f>SUM(C64:O64)</f>
        <v>#VALUE!</v>
      </c>
      <c r="U59" s="210"/>
      <c r="V59" s="362" t="s">
        <v>102</v>
      </c>
      <c r="W59" s="358">
        <f>SUMIF(C59:O59,"康軒",C64:O64)</f>
        <v>0</v>
      </c>
      <c r="X59" s="358">
        <f>SUMIF(C59:O59,"翰林",C64:O64)</f>
        <v>0</v>
      </c>
      <c r="Y59" s="358">
        <f>SUMIF(C59:O59,"南一",C64:O64)</f>
        <v>0</v>
      </c>
      <c r="Z59" s="359"/>
      <c r="AA59" s="2"/>
      <c r="AB59" s="2"/>
      <c r="AC59" s="2"/>
      <c r="AD59" s="2"/>
      <c r="AE59" s="2"/>
      <c r="AI59" s="210"/>
      <c r="AJ59" s="210"/>
      <c r="AK59" s="210"/>
      <c r="AL59" s="210"/>
      <c r="AM59" s="210"/>
      <c r="AN59" s="210"/>
      <c r="AO59" s="210"/>
    </row>
    <row r="60" spans="1:41" customFormat="1" ht="21" customHeight="1">
      <c r="A60" s="428"/>
      <c r="B60" s="232" t="s">
        <v>70</v>
      </c>
      <c r="C60" s="181" t="str">
        <f>VLOOKUP(C59,工作表2!A28:BG32,2,FALSE)</f>
        <v>金額</v>
      </c>
      <c r="D60" s="134" t="str">
        <f>VLOOKUP(D59,工作表2!A28:BG32,3,FALSE)</f>
        <v>金額</v>
      </c>
      <c r="E60" s="134" t="str">
        <f>VLOOKUP(E59,工作表2!A28:BG32,4,FALSE)</f>
        <v>金額</v>
      </c>
      <c r="F60" s="134" t="str">
        <f>VLOOKUP(F59,工作表2!A28:BG32,5,FALSE)</f>
        <v>金額</v>
      </c>
      <c r="G60" s="134" t="str">
        <f>VLOOKUP(G59,工作表2!A28:BG32,6,FALSE)</f>
        <v>金額</v>
      </c>
      <c r="H60" s="134" t="str">
        <f>VLOOKUP(H59,工作表2!A28:BG32,7,FALSE)</f>
        <v>金額</v>
      </c>
      <c r="I60" s="504">
        <v>0</v>
      </c>
      <c r="J60" s="501"/>
      <c r="K60" s="504">
        <v>0</v>
      </c>
      <c r="L60" s="501"/>
      <c r="M60" s="504">
        <v>0</v>
      </c>
      <c r="N60" s="505"/>
      <c r="O60" s="181" t="str">
        <f>VLOOKUP(O59,工作表2!A28:BG32,8,FALSE)</f>
        <v>金額</v>
      </c>
      <c r="P60" s="504">
        <v>0</v>
      </c>
      <c r="Q60" s="506"/>
      <c r="R60" s="569"/>
      <c r="S60" s="571"/>
      <c r="U60" s="210"/>
      <c r="V60" s="362"/>
      <c r="W60" s="359"/>
      <c r="X60" s="358"/>
      <c r="Y60" s="358"/>
      <c r="Z60" s="359"/>
      <c r="AA60" s="2"/>
      <c r="AB60" s="2"/>
      <c r="AC60" s="2"/>
      <c r="AD60" s="2"/>
      <c r="AE60" s="2"/>
      <c r="AI60" s="210"/>
      <c r="AJ60" s="210"/>
      <c r="AK60" s="210"/>
      <c r="AL60" s="210"/>
      <c r="AM60" s="210"/>
      <c r="AN60" s="210"/>
      <c r="AO60" s="210"/>
    </row>
    <row r="61" spans="1:41" customFormat="1" ht="21" customHeight="1">
      <c r="A61" s="428"/>
      <c r="B61" s="233" t="s">
        <v>152</v>
      </c>
      <c r="C61" s="305"/>
      <c r="D61" s="306"/>
      <c r="E61" s="306"/>
      <c r="F61" s="306"/>
      <c r="G61" s="306"/>
      <c r="H61" s="306"/>
      <c r="I61" s="504">
        <v>0</v>
      </c>
      <c r="J61" s="501"/>
      <c r="K61" s="504">
        <v>0</v>
      </c>
      <c r="L61" s="501"/>
      <c r="M61" s="504">
        <v>0</v>
      </c>
      <c r="N61" s="505"/>
      <c r="O61" s="305"/>
      <c r="P61" s="504">
        <v>0</v>
      </c>
      <c r="Q61" s="506"/>
      <c r="R61" s="569"/>
      <c r="S61" s="571"/>
      <c r="U61" s="210"/>
      <c r="V61" s="362" t="s">
        <v>101</v>
      </c>
      <c r="W61" s="358">
        <f>SUMIF(C65:O65,"康軒",C70:O70)</f>
        <v>0</v>
      </c>
      <c r="X61" s="358">
        <f>SUMIF(C65:O65,"翰林",C70:O70)</f>
        <v>0</v>
      </c>
      <c r="Y61" s="358">
        <f>SUMIF(C65:O65,"南一",C70:O70)</f>
        <v>0</v>
      </c>
      <c r="Z61" s="358"/>
      <c r="AA61" s="2"/>
      <c r="AB61" s="2"/>
      <c r="AC61" s="2"/>
      <c r="AD61" s="2"/>
      <c r="AE61" s="2"/>
      <c r="AI61" s="210"/>
      <c r="AJ61" s="210"/>
      <c r="AK61" s="210"/>
      <c r="AL61" s="210"/>
      <c r="AM61" s="210"/>
      <c r="AN61" s="210"/>
      <c r="AO61" s="210"/>
    </row>
    <row r="62" spans="1:41" customFormat="1" ht="21" customHeight="1">
      <c r="A62" s="428"/>
      <c r="B62" s="233" t="s">
        <v>261</v>
      </c>
      <c r="C62" s="305"/>
      <c r="D62" s="306"/>
      <c r="E62" s="306"/>
      <c r="F62" s="306"/>
      <c r="G62" s="306"/>
      <c r="H62" s="306"/>
      <c r="I62" s="504">
        <v>0</v>
      </c>
      <c r="J62" s="501"/>
      <c r="K62" s="504">
        <v>0</v>
      </c>
      <c r="L62" s="501"/>
      <c r="M62" s="504">
        <v>0</v>
      </c>
      <c r="N62" s="501"/>
      <c r="O62" s="305"/>
      <c r="P62" s="504">
        <v>0</v>
      </c>
      <c r="Q62" s="506"/>
      <c r="R62" s="569"/>
      <c r="S62" s="571"/>
      <c r="U62" s="210"/>
      <c r="V62" s="362"/>
      <c r="W62" s="358"/>
      <c r="X62" s="358"/>
      <c r="Y62" s="358"/>
      <c r="Z62" s="358"/>
      <c r="AA62" s="2"/>
      <c r="AB62" s="2"/>
      <c r="AC62" s="2"/>
      <c r="AD62" s="2"/>
      <c r="AE62" s="2"/>
      <c r="AI62" s="210"/>
      <c r="AJ62" s="210"/>
      <c r="AK62" s="210"/>
      <c r="AL62" s="210"/>
      <c r="AM62" s="210"/>
      <c r="AN62" s="210"/>
      <c r="AO62" s="210"/>
    </row>
    <row r="63" spans="1:41" customFormat="1" ht="21" customHeight="1">
      <c r="A63" s="428"/>
      <c r="B63" s="232" t="s">
        <v>153</v>
      </c>
      <c r="C63" s="164">
        <f>IF((C61-C62)&lt;0,0,(C61-C62))</f>
        <v>0</v>
      </c>
      <c r="D63" s="164">
        <f>IF((D61-D62)&lt;0,0,(D61-D62))</f>
        <v>0</v>
      </c>
      <c r="E63" s="164">
        <f t="shared" ref="E63:H63" si="6">IF((E61-E62)&lt;0,0,(E61-E62))</f>
        <v>0</v>
      </c>
      <c r="F63" s="164">
        <f t="shared" si="6"/>
        <v>0</v>
      </c>
      <c r="G63" s="164">
        <f t="shared" si="6"/>
        <v>0</v>
      </c>
      <c r="H63" s="164">
        <f t="shared" si="6"/>
        <v>0</v>
      </c>
      <c r="I63" s="504">
        <v>0</v>
      </c>
      <c r="J63" s="501"/>
      <c r="K63" s="504">
        <v>0</v>
      </c>
      <c r="L63" s="501"/>
      <c r="M63" s="504">
        <v>0</v>
      </c>
      <c r="N63" s="505"/>
      <c r="O63" s="182">
        <f>IF((O61-O62)&lt;0,0,(O61-O62))</f>
        <v>0</v>
      </c>
      <c r="P63" s="504">
        <v>0</v>
      </c>
      <c r="Q63" s="506"/>
      <c r="R63" s="569"/>
      <c r="S63" s="571"/>
      <c r="U63" s="210"/>
      <c r="V63" s="362" t="s">
        <v>100</v>
      </c>
      <c r="W63" s="358">
        <f>SUMIF(E71:Q71,"康軒",E76:Q76)</f>
        <v>0</v>
      </c>
      <c r="X63" s="358">
        <f>SUMIF(E71:Q71,"翰林",E76:Q76)</f>
        <v>0</v>
      </c>
      <c r="Y63" s="358">
        <f>SUMIF(E71:Q71,"南一",E76:Q76)</f>
        <v>0</v>
      </c>
      <c r="Z63" s="358">
        <f>SUMIF(E71:Q71,"何嘉仁",E76:Q76)</f>
        <v>0</v>
      </c>
      <c r="AA63" s="2"/>
      <c r="AB63" s="2"/>
      <c r="AC63" s="2"/>
      <c r="AD63" s="2"/>
      <c r="AE63" s="2"/>
      <c r="AI63" s="210"/>
      <c r="AJ63" s="210"/>
      <c r="AK63" s="210"/>
      <c r="AL63" s="210"/>
      <c r="AM63" s="210"/>
      <c r="AN63" s="210"/>
      <c r="AO63" s="210"/>
    </row>
    <row r="64" spans="1:41" customFormat="1" ht="21" customHeight="1">
      <c r="A64" s="429"/>
      <c r="B64" s="232" t="s">
        <v>150</v>
      </c>
      <c r="C64" s="183" t="e">
        <f>C60*C63</f>
        <v>#VALUE!</v>
      </c>
      <c r="D64" s="165" t="e">
        <f t="shared" ref="D64:H64" si="7">D60*D63</f>
        <v>#VALUE!</v>
      </c>
      <c r="E64" s="165" t="e">
        <f t="shared" si="7"/>
        <v>#VALUE!</v>
      </c>
      <c r="F64" s="165" t="e">
        <f t="shared" si="7"/>
        <v>#VALUE!</v>
      </c>
      <c r="G64" s="165" t="e">
        <f t="shared" si="7"/>
        <v>#VALUE!</v>
      </c>
      <c r="H64" s="165" t="e">
        <f t="shared" si="7"/>
        <v>#VALUE!</v>
      </c>
      <c r="I64" s="504">
        <v>0</v>
      </c>
      <c r="J64" s="501"/>
      <c r="K64" s="504">
        <v>0</v>
      </c>
      <c r="L64" s="501"/>
      <c r="M64" s="504">
        <v>0</v>
      </c>
      <c r="N64" s="505"/>
      <c r="O64" s="183" t="e">
        <f>O60*O63</f>
        <v>#VALUE!</v>
      </c>
      <c r="P64" s="504">
        <v>0</v>
      </c>
      <c r="Q64" s="506"/>
      <c r="R64" s="573"/>
      <c r="S64" s="574"/>
      <c r="U64" s="210"/>
      <c r="V64" s="362"/>
      <c r="W64" s="358"/>
      <c r="X64" s="358"/>
      <c r="Y64" s="358"/>
      <c r="Z64" s="358"/>
      <c r="AA64" s="2"/>
      <c r="AB64" s="2"/>
      <c r="AC64" s="2"/>
      <c r="AD64" s="2"/>
      <c r="AE64" s="2"/>
      <c r="AI64" s="210"/>
      <c r="AJ64" s="210"/>
      <c r="AK64" s="210"/>
      <c r="AL64" s="210"/>
      <c r="AM64" s="210"/>
      <c r="AN64" s="210"/>
      <c r="AO64" s="210"/>
    </row>
    <row r="65" spans="1:41" customFormat="1" ht="21" customHeight="1">
      <c r="A65" s="430" t="s">
        <v>220</v>
      </c>
      <c r="B65" s="232" t="s">
        <v>68</v>
      </c>
      <c r="C65" s="311" t="str">
        <f t="shared" ref="C65:H65" si="8">D15</f>
        <v>版本</v>
      </c>
      <c r="D65" s="309" t="str">
        <f t="shared" si="8"/>
        <v>版本</v>
      </c>
      <c r="E65" s="309" t="str">
        <f t="shared" si="8"/>
        <v>版本</v>
      </c>
      <c r="F65" s="309" t="str">
        <f t="shared" si="8"/>
        <v>版本</v>
      </c>
      <c r="G65" s="309" t="str">
        <f t="shared" si="8"/>
        <v>版本</v>
      </c>
      <c r="H65" s="309" t="str">
        <f t="shared" si="8"/>
        <v>版本</v>
      </c>
      <c r="I65" s="504">
        <v>0</v>
      </c>
      <c r="J65" s="501"/>
      <c r="K65" s="504">
        <v>0</v>
      </c>
      <c r="L65" s="501"/>
      <c r="M65" s="504">
        <v>0</v>
      </c>
      <c r="N65" s="505"/>
      <c r="O65" s="311" t="str">
        <f>D32</f>
        <v>版本</v>
      </c>
      <c r="P65" s="504">
        <v>0</v>
      </c>
      <c r="Q65" s="506"/>
      <c r="R65" s="511">
        <f>SUM(C69:O69)</f>
        <v>0</v>
      </c>
      <c r="S65" s="514" t="e">
        <f>SUM(C70:O70)</f>
        <v>#VALUE!</v>
      </c>
      <c r="U65" s="210"/>
      <c r="V65" s="362" t="s">
        <v>99</v>
      </c>
      <c r="W65" s="358">
        <f>SUMIF(E77:Q77,"康軒",E82:Q82)</f>
        <v>0</v>
      </c>
      <c r="X65" s="358">
        <f>SUMIF(E77:Q77,"翰林",E82:Q82)</f>
        <v>0</v>
      </c>
      <c r="Y65" s="358">
        <f>SUMIF(E77:Q77,"南一",E82:Q82)</f>
        <v>0</v>
      </c>
      <c r="Z65" s="358">
        <f>SUMIF(E77:Q77,"何嘉仁",E82:Q82)</f>
        <v>0</v>
      </c>
      <c r="AA65" s="2"/>
      <c r="AB65" s="2"/>
      <c r="AC65" s="2"/>
      <c r="AD65" s="2"/>
      <c r="AE65" s="2"/>
      <c r="AI65" s="210"/>
      <c r="AJ65" s="210"/>
      <c r="AK65" s="210"/>
      <c r="AL65" s="210"/>
      <c r="AM65" s="210"/>
      <c r="AN65" s="210"/>
      <c r="AO65" s="210"/>
    </row>
    <row r="66" spans="1:41" customFormat="1" ht="21" customHeight="1">
      <c r="A66" s="431"/>
      <c r="B66" s="232" t="s">
        <v>70</v>
      </c>
      <c r="C66" s="181" t="str">
        <f>VLOOKUP(C65,工作表2!A28:BG32,9,FALSE)</f>
        <v>金額</v>
      </c>
      <c r="D66" s="134" t="str">
        <f>VLOOKUP(D65,工作表2!A28:BG32,10,FALSE)</f>
        <v>金額</v>
      </c>
      <c r="E66" s="134" t="str">
        <f>VLOOKUP(E65,工作表2!A28:BG32,11,FALSE)</f>
        <v>金額</v>
      </c>
      <c r="F66" s="134" t="str">
        <f>VLOOKUP(F65,工作表2!A28:BG32,12,FALSE)</f>
        <v>金額</v>
      </c>
      <c r="G66" s="134" t="str">
        <f>VLOOKUP(G65,工作表2!A28:BG32,13,FALSE)</f>
        <v>金額</v>
      </c>
      <c r="H66" s="134" t="str">
        <f>VLOOKUP(H65,工作表2!A28:BG32,14,FALSE)</f>
        <v>金額</v>
      </c>
      <c r="I66" s="504">
        <v>0</v>
      </c>
      <c r="J66" s="501"/>
      <c r="K66" s="504">
        <v>0</v>
      </c>
      <c r="L66" s="501"/>
      <c r="M66" s="504">
        <v>0</v>
      </c>
      <c r="N66" s="505"/>
      <c r="O66" s="181" t="str">
        <f>VLOOKUP(O65,工作表2!A28:BG32,15,FALSE)</f>
        <v>金額</v>
      </c>
      <c r="P66" s="504">
        <v>0</v>
      </c>
      <c r="Q66" s="506"/>
      <c r="R66" s="569"/>
      <c r="S66" s="571"/>
      <c r="U66" s="210"/>
      <c r="V66" s="362"/>
      <c r="W66" s="358"/>
      <c r="X66" s="358"/>
      <c r="Y66" s="358"/>
      <c r="Z66" s="358"/>
      <c r="AA66" s="2"/>
      <c r="AB66" s="2"/>
      <c r="AC66" s="2"/>
      <c r="AD66" s="2"/>
      <c r="AE66" s="2"/>
      <c r="AI66" s="210"/>
      <c r="AJ66" s="210"/>
      <c r="AK66" s="210"/>
      <c r="AL66" s="210"/>
      <c r="AM66" s="210"/>
      <c r="AN66" s="210"/>
      <c r="AO66" s="210"/>
    </row>
    <row r="67" spans="1:41" customFormat="1" ht="21" customHeight="1">
      <c r="A67" s="431"/>
      <c r="B67" s="233" t="s">
        <v>152</v>
      </c>
      <c r="C67" s="305"/>
      <c r="D67" s="306"/>
      <c r="E67" s="306"/>
      <c r="F67" s="306"/>
      <c r="G67" s="306"/>
      <c r="H67" s="306"/>
      <c r="I67" s="504">
        <v>0</v>
      </c>
      <c r="J67" s="501"/>
      <c r="K67" s="504">
        <v>0</v>
      </c>
      <c r="L67" s="501"/>
      <c r="M67" s="504">
        <v>0</v>
      </c>
      <c r="N67" s="505"/>
      <c r="O67" s="305"/>
      <c r="P67" s="504">
        <v>0</v>
      </c>
      <c r="Q67" s="506"/>
      <c r="R67" s="569"/>
      <c r="S67" s="571"/>
      <c r="U67" s="210"/>
      <c r="V67" s="362" t="s">
        <v>98</v>
      </c>
      <c r="W67" s="358">
        <f>SUMIF(E83:Q83,"康軒",E88:Q88)</f>
        <v>0</v>
      </c>
      <c r="X67" s="358">
        <f>SUMIF(E83:Q83,"翰林",E88:Q88)</f>
        <v>0</v>
      </c>
      <c r="Y67" s="358">
        <f>SUMIF(E83:Q83,"南一",E88:Q88)</f>
        <v>0</v>
      </c>
      <c r="Z67" s="358">
        <f>SUMIF(E83:Q83,"何嘉仁",E88:Q88)</f>
        <v>0</v>
      </c>
      <c r="AA67" s="2"/>
      <c r="AB67" s="2"/>
      <c r="AC67" s="2"/>
      <c r="AD67" s="2"/>
      <c r="AE67" s="2"/>
      <c r="AI67" s="210"/>
      <c r="AJ67" s="210"/>
      <c r="AK67" s="210"/>
      <c r="AL67" s="210"/>
      <c r="AM67" s="210"/>
      <c r="AN67" s="210"/>
      <c r="AO67" s="210"/>
    </row>
    <row r="68" spans="1:41" customFormat="1" ht="21" customHeight="1">
      <c r="A68" s="431"/>
      <c r="B68" s="233" t="s">
        <v>261</v>
      </c>
      <c r="C68" s="305"/>
      <c r="D68" s="306"/>
      <c r="E68" s="306"/>
      <c r="F68" s="306"/>
      <c r="G68" s="306"/>
      <c r="H68" s="306"/>
      <c r="I68" s="504">
        <v>0</v>
      </c>
      <c r="J68" s="501"/>
      <c r="K68" s="504">
        <v>0</v>
      </c>
      <c r="L68" s="501"/>
      <c r="M68" s="504">
        <v>0</v>
      </c>
      <c r="N68" s="501"/>
      <c r="O68" s="305"/>
      <c r="P68" s="504">
        <v>0</v>
      </c>
      <c r="Q68" s="506"/>
      <c r="R68" s="569"/>
      <c r="S68" s="571"/>
      <c r="U68" s="210"/>
      <c r="V68" s="362"/>
      <c r="W68" s="358"/>
      <c r="X68" s="358"/>
      <c r="Y68" s="358"/>
      <c r="Z68" s="358"/>
      <c r="AA68" s="2"/>
      <c r="AB68" s="2"/>
      <c r="AC68" s="2"/>
      <c r="AD68" s="2"/>
      <c r="AE68" s="78"/>
      <c r="AI68" s="210"/>
      <c r="AJ68" s="210"/>
      <c r="AK68" s="210"/>
      <c r="AL68" s="210"/>
      <c r="AM68" s="210"/>
      <c r="AN68" s="210"/>
      <c r="AO68" s="210"/>
    </row>
    <row r="69" spans="1:41" customFormat="1" ht="21" customHeight="1">
      <c r="A69" s="431"/>
      <c r="B69" s="232" t="s">
        <v>153</v>
      </c>
      <c r="C69" s="182">
        <f>IF((C67-C68)&lt;0,0,(C67-C68))</f>
        <v>0</v>
      </c>
      <c r="D69" s="164">
        <f t="shared" ref="D69:H69" si="9">IF((D67-D68)&lt;0,0,(D67-D68))</f>
        <v>0</v>
      </c>
      <c r="E69" s="164">
        <f t="shared" si="9"/>
        <v>0</v>
      </c>
      <c r="F69" s="164">
        <f t="shared" si="9"/>
        <v>0</v>
      </c>
      <c r="G69" s="164">
        <f t="shared" si="9"/>
        <v>0</v>
      </c>
      <c r="H69" s="164">
        <f t="shared" si="9"/>
        <v>0</v>
      </c>
      <c r="I69" s="504">
        <v>0</v>
      </c>
      <c r="J69" s="501"/>
      <c r="K69" s="504">
        <v>0</v>
      </c>
      <c r="L69" s="501"/>
      <c r="M69" s="504">
        <v>0</v>
      </c>
      <c r="N69" s="505"/>
      <c r="O69" s="182">
        <f>IF((O67-O68)&lt;0,0,(O67-O68))</f>
        <v>0</v>
      </c>
      <c r="P69" s="504">
        <v>0</v>
      </c>
      <c r="Q69" s="506"/>
      <c r="R69" s="569"/>
      <c r="S69" s="571"/>
      <c r="U69" s="210"/>
      <c r="V69" s="362"/>
      <c r="W69" s="358"/>
      <c r="X69" s="358"/>
      <c r="Y69" s="358"/>
      <c r="Z69" s="358"/>
      <c r="AA69" s="2"/>
      <c r="AB69" s="2"/>
      <c r="AC69" s="2"/>
      <c r="AD69" s="2"/>
      <c r="AE69" s="78"/>
      <c r="AI69" s="210"/>
      <c r="AJ69" s="210"/>
      <c r="AK69" s="210"/>
      <c r="AL69" s="210"/>
      <c r="AM69" s="210"/>
      <c r="AN69" s="210"/>
      <c r="AO69" s="210"/>
    </row>
    <row r="70" spans="1:41" customFormat="1" ht="21" customHeight="1">
      <c r="A70" s="432"/>
      <c r="B70" s="232" t="s">
        <v>150</v>
      </c>
      <c r="C70" s="183" t="e">
        <f>C66*C69</f>
        <v>#VALUE!</v>
      </c>
      <c r="D70" s="165" t="e">
        <f>D66*D69</f>
        <v>#VALUE!</v>
      </c>
      <c r="E70" s="165" t="e">
        <f t="shared" ref="E70:G70" si="10">E66*E69</f>
        <v>#VALUE!</v>
      </c>
      <c r="F70" s="165" t="e">
        <f t="shared" si="10"/>
        <v>#VALUE!</v>
      </c>
      <c r="G70" s="165" t="e">
        <f t="shared" si="10"/>
        <v>#VALUE!</v>
      </c>
      <c r="H70" s="165" t="e">
        <f>H66*H69</f>
        <v>#VALUE!</v>
      </c>
      <c r="I70" s="504">
        <v>0</v>
      </c>
      <c r="J70" s="501"/>
      <c r="K70" s="504">
        <v>0</v>
      </c>
      <c r="L70" s="501"/>
      <c r="M70" s="504">
        <v>0</v>
      </c>
      <c r="N70" s="505"/>
      <c r="O70" s="183" t="e">
        <f>O66*O69</f>
        <v>#VALUE!</v>
      </c>
      <c r="P70" s="504">
        <v>0</v>
      </c>
      <c r="Q70" s="506"/>
      <c r="R70" s="573"/>
      <c r="S70" s="574"/>
      <c r="U70" s="210"/>
      <c r="V70" s="362" t="s">
        <v>97</v>
      </c>
      <c r="W70" s="358">
        <f>SUMIF(E89:Q89,"康軒",E94:Q94)+AB70+AB71</f>
        <v>0</v>
      </c>
      <c r="X70" s="358">
        <f>SUMIF(E89:Q89,"翰林",E94:Q94)</f>
        <v>0</v>
      </c>
      <c r="Y70" s="358">
        <f>SUMIF(E89:Q89,"南一",E94:Q94)</f>
        <v>0</v>
      </c>
      <c r="Z70" s="358">
        <f>SUMIF(E89:Q89,"何嘉仁",E94:Q94)</f>
        <v>0</v>
      </c>
      <c r="AA70" s="2"/>
      <c r="AB70" s="2"/>
      <c r="AC70" s="2"/>
      <c r="AD70" s="2"/>
      <c r="AE70" s="78"/>
      <c r="AI70" s="210"/>
      <c r="AJ70" s="210"/>
      <c r="AK70" s="210"/>
      <c r="AL70" s="210"/>
      <c r="AM70" s="210"/>
      <c r="AN70" s="210"/>
      <c r="AO70" s="210"/>
    </row>
    <row r="71" spans="1:41" customFormat="1" ht="21" customHeight="1">
      <c r="A71" s="427" t="s">
        <v>221</v>
      </c>
      <c r="B71" s="232" t="s">
        <v>68</v>
      </c>
      <c r="C71" s="500">
        <v>0</v>
      </c>
      <c r="D71" s="501"/>
      <c r="E71" s="309" t="str">
        <f t="shared" ref="E71:N71" si="11">F17</f>
        <v>版本</v>
      </c>
      <c r="F71" s="309" t="str">
        <f t="shared" si="11"/>
        <v>版本</v>
      </c>
      <c r="G71" s="309" t="str">
        <f t="shared" si="11"/>
        <v>版本</v>
      </c>
      <c r="H71" s="309" t="str">
        <f t="shared" si="11"/>
        <v>版本</v>
      </c>
      <c r="I71" s="309" t="str">
        <f t="shared" si="11"/>
        <v>版本</v>
      </c>
      <c r="J71" s="309" t="str">
        <f t="shared" si="11"/>
        <v>版本</v>
      </c>
      <c r="K71" s="309" t="str">
        <f t="shared" si="11"/>
        <v>版本</v>
      </c>
      <c r="L71" s="309" t="str">
        <f t="shared" si="11"/>
        <v>版本</v>
      </c>
      <c r="M71" s="309" t="str">
        <f t="shared" si="11"/>
        <v>版本</v>
      </c>
      <c r="N71" s="322" t="str">
        <f t="shared" si="11"/>
        <v>版本</v>
      </c>
      <c r="O71" s="311" t="str">
        <f>D36</f>
        <v>版本</v>
      </c>
      <c r="P71" s="309" t="str">
        <f>E36</f>
        <v>版本</v>
      </c>
      <c r="Q71" s="312" t="str">
        <f>F36</f>
        <v>版本</v>
      </c>
      <c r="R71" s="511">
        <f>SUM(E75:Q75)</f>
        <v>0</v>
      </c>
      <c r="S71" s="514" t="e">
        <f>SUM(E76:Q76)</f>
        <v>#VALUE!</v>
      </c>
      <c r="U71" s="210"/>
      <c r="V71" s="362"/>
      <c r="W71" s="358"/>
      <c r="X71" s="358"/>
      <c r="Y71" s="358"/>
      <c r="Z71" s="358"/>
      <c r="AA71" s="2"/>
      <c r="AB71" s="2"/>
      <c r="AC71" s="2"/>
      <c r="AD71" s="2"/>
      <c r="AI71" s="210"/>
      <c r="AJ71" s="210"/>
      <c r="AK71" s="210"/>
      <c r="AL71" s="210"/>
      <c r="AM71" s="210"/>
      <c r="AN71" s="210"/>
      <c r="AO71" s="210"/>
    </row>
    <row r="72" spans="1:41" customFormat="1" ht="21" customHeight="1">
      <c r="A72" s="428"/>
      <c r="B72" s="232" t="s">
        <v>70</v>
      </c>
      <c r="C72" s="500">
        <v>0</v>
      </c>
      <c r="D72" s="501"/>
      <c r="E72" s="134" t="str">
        <f>VLOOKUP(E71,工作表2!A28:BG32,16,FALSE)</f>
        <v>金額</v>
      </c>
      <c r="F72" s="134" t="str">
        <f>VLOOKUP(F71,工作表2!A28:BG32,17,FALSE)</f>
        <v>金額</v>
      </c>
      <c r="G72" s="134" t="str">
        <f>VLOOKUP(G71,工作表2!A28:BG32,18,FALSE)</f>
        <v>金額</v>
      </c>
      <c r="H72" s="134" t="str">
        <f>VLOOKUP(H71,工作表2!A28:BG32,19,FALSE)</f>
        <v>金額</v>
      </c>
      <c r="I72" s="134" t="str">
        <f>VLOOKUP(I71,工作表2!A28:BG32,20,FALSE)</f>
        <v>金額</v>
      </c>
      <c r="J72" s="134" t="str">
        <f>VLOOKUP(J71,工作表2!A28:BG32,21,FALSE)</f>
        <v>金額</v>
      </c>
      <c r="K72" s="134" t="str">
        <f>VLOOKUP(K71,工作表2!A28:BG32,22,FALSE)</f>
        <v>金額</v>
      </c>
      <c r="L72" s="134" t="str">
        <f>VLOOKUP(L71,工作表2!A28:BG32,23,FALSE)</f>
        <v>金額</v>
      </c>
      <c r="M72" s="134" t="str">
        <f>VLOOKUP(M71,工作表2!A38:I42,2,FALSE)</f>
        <v>金額</v>
      </c>
      <c r="N72" s="323" t="str">
        <f>VLOOKUP(N71,工作表2!A38:I42,3,FALSE)</f>
        <v>金額</v>
      </c>
      <c r="O72" s="181" t="str">
        <f>VLOOKUP(O71,工作表2!A28:BG32,24,FALSE)</f>
        <v>金額</v>
      </c>
      <c r="P72" s="134" t="str">
        <f>VLOOKUP(P71,工作表2!A28:BG32,25,FALSE)</f>
        <v>金額</v>
      </c>
      <c r="Q72" s="136" t="str">
        <f>VLOOKUP(Q71,工作表2!A28:BG32,26,FALSE)</f>
        <v>金額</v>
      </c>
      <c r="R72" s="569"/>
      <c r="S72" s="571"/>
      <c r="U72" s="210"/>
      <c r="V72" s="144" t="s">
        <v>9</v>
      </c>
      <c r="W72" s="147">
        <f>SUM(W59:W71)</f>
        <v>0</v>
      </c>
      <c r="X72" s="147">
        <f>SUM(X59:X71)</f>
        <v>0</v>
      </c>
      <c r="Y72" s="147">
        <f>SUM(Y59:Y71)</f>
        <v>0</v>
      </c>
      <c r="Z72" s="147">
        <f>SUM(Z59:Z71)</f>
        <v>0</v>
      </c>
      <c r="AA72" s="2"/>
      <c r="AB72" s="2"/>
      <c r="AC72" s="2"/>
      <c r="AD72" s="2"/>
      <c r="AG72" s="147"/>
    </row>
    <row r="73" spans="1:41" customFormat="1" ht="21" customHeight="1">
      <c r="A73" s="428"/>
      <c r="B73" s="233" t="s">
        <v>152</v>
      </c>
      <c r="C73" s="500">
        <v>0</v>
      </c>
      <c r="D73" s="501"/>
      <c r="E73" s="306"/>
      <c r="F73" s="306"/>
      <c r="G73" s="306"/>
      <c r="H73" s="306"/>
      <c r="I73" s="306"/>
      <c r="J73" s="306"/>
      <c r="K73" s="306"/>
      <c r="L73" s="306"/>
      <c r="M73" s="306"/>
      <c r="N73" s="324"/>
      <c r="O73" s="305"/>
      <c r="P73" s="306"/>
      <c r="Q73" s="307"/>
      <c r="R73" s="569"/>
      <c r="S73" s="571"/>
      <c r="V73" s="210"/>
      <c r="W73" s="210"/>
      <c r="X73" s="210"/>
      <c r="Y73" s="210"/>
      <c r="Z73" s="210"/>
      <c r="AA73" s="2"/>
      <c r="AB73" s="2"/>
      <c r="AC73" s="2"/>
      <c r="AD73" s="2"/>
      <c r="AG73" s="147"/>
    </row>
    <row r="74" spans="1:41" customFormat="1" ht="21" customHeight="1">
      <c r="A74" s="428"/>
      <c r="B74" s="233" t="s">
        <v>261</v>
      </c>
      <c r="C74" s="500">
        <v>0</v>
      </c>
      <c r="D74" s="501"/>
      <c r="E74" s="306"/>
      <c r="F74" s="306"/>
      <c r="G74" s="306"/>
      <c r="H74" s="306"/>
      <c r="I74" s="306"/>
      <c r="J74" s="306"/>
      <c r="K74" s="306"/>
      <c r="L74" s="306"/>
      <c r="M74" s="306"/>
      <c r="N74" s="324"/>
      <c r="O74" s="305"/>
      <c r="P74" s="306"/>
      <c r="Q74" s="307"/>
      <c r="R74" s="569"/>
      <c r="S74" s="571"/>
      <c r="V74" s="210"/>
      <c r="W74" s="210"/>
      <c r="X74" s="210"/>
      <c r="Y74" s="210"/>
      <c r="Z74" s="210"/>
      <c r="AA74" s="210"/>
      <c r="AB74" s="210"/>
      <c r="AC74" s="210"/>
      <c r="AD74" s="210"/>
    </row>
    <row r="75" spans="1:41" customFormat="1" ht="21" customHeight="1">
      <c r="A75" s="428"/>
      <c r="B75" s="232" t="s">
        <v>153</v>
      </c>
      <c r="C75" s="500">
        <v>0</v>
      </c>
      <c r="D75" s="501"/>
      <c r="E75" s="164">
        <f>IF((E73-E74)&lt;0,0,(E73-E74))</f>
        <v>0</v>
      </c>
      <c r="F75" s="164">
        <f t="shared" ref="F75:Q75" si="12">IF((F73-F74)&lt;0,0,(F73-F74))</f>
        <v>0</v>
      </c>
      <c r="G75" s="164">
        <f t="shared" si="12"/>
        <v>0</v>
      </c>
      <c r="H75" s="164">
        <f t="shared" si="12"/>
        <v>0</v>
      </c>
      <c r="I75" s="164">
        <f t="shared" si="12"/>
        <v>0</v>
      </c>
      <c r="J75" s="164">
        <f t="shared" si="12"/>
        <v>0</v>
      </c>
      <c r="K75" s="164">
        <f t="shared" si="12"/>
        <v>0</v>
      </c>
      <c r="L75" s="164">
        <f t="shared" si="12"/>
        <v>0</v>
      </c>
      <c r="M75" s="164">
        <f t="shared" si="12"/>
        <v>0</v>
      </c>
      <c r="N75" s="325">
        <f t="shared" si="12"/>
        <v>0</v>
      </c>
      <c r="O75" s="182">
        <f t="shared" si="12"/>
        <v>0</v>
      </c>
      <c r="P75" s="164">
        <f t="shared" si="12"/>
        <v>0</v>
      </c>
      <c r="Q75" s="184">
        <f t="shared" si="12"/>
        <v>0</v>
      </c>
      <c r="R75" s="569"/>
      <c r="S75" s="571"/>
      <c r="V75" s="210"/>
      <c r="W75" s="210"/>
      <c r="X75" s="210"/>
      <c r="Y75" s="210"/>
      <c r="Z75" s="210"/>
      <c r="AA75" s="210"/>
      <c r="AB75" s="210"/>
      <c r="AC75" s="210"/>
      <c r="AD75" s="210"/>
    </row>
    <row r="76" spans="1:41" customFormat="1" ht="21" customHeight="1">
      <c r="A76" s="429"/>
      <c r="B76" s="232" t="s">
        <v>150</v>
      </c>
      <c r="C76" s="500">
        <v>0</v>
      </c>
      <c r="D76" s="501"/>
      <c r="E76" s="165" t="e">
        <f>E72*E75</f>
        <v>#VALUE!</v>
      </c>
      <c r="F76" s="165" t="e">
        <f>F72*F75</f>
        <v>#VALUE!</v>
      </c>
      <c r="G76" s="165" t="e">
        <f t="shared" ref="G76:Q76" si="13">G72*G75</f>
        <v>#VALUE!</v>
      </c>
      <c r="H76" s="165" t="e">
        <f t="shared" si="13"/>
        <v>#VALUE!</v>
      </c>
      <c r="I76" s="165" t="e">
        <f t="shared" si="13"/>
        <v>#VALUE!</v>
      </c>
      <c r="J76" s="165" t="e">
        <f t="shared" si="13"/>
        <v>#VALUE!</v>
      </c>
      <c r="K76" s="165" t="e">
        <f t="shared" si="13"/>
        <v>#VALUE!</v>
      </c>
      <c r="L76" s="165" t="e">
        <f t="shared" si="13"/>
        <v>#VALUE!</v>
      </c>
      <c r="M76" s="165" t="e">
        <f t="shared" si="13"/>
        <v>#VALUE!</v>
      </c>
      <c r="N76" s="326" t="e">
        <f t="shared" si="13"/>
        <v>#VALUE!</v>
      </c>
      <c r="O76" s="183" t="e">
        <f t="shared" si="13"/>
        <v>#VALUE!</v>
      </c>
      <c r="P76" s="165" t="e">
        <f t="shared" si="13"/>
        <v>#VALUE!</v>
      </c>
      <c r="Q76" s="185" t="e">
        <f t="shared" si="13"/>
        <v>#VALUE!</v>
      </c>
      <c r="R76" s="573"/>
      <c r="S76" s="574"/>
      <c r="V76" s="210"/>
      <c r="W76" s="210"/>
      <c r="X76" s="210"/>
      <c r="Y76" s="210"/>
      <c r="Z76" s="210"/>
      <c r="AA76" s="210"/>
      <c r="AB76" s="210"/>
      <c r="AC76" s="210"/>
      <c r="AD76" s="210"/>
    </row>
    <row r="77" spans="1:41" customFormat="1" ht="21" customHeight="1">
      <c r="A77" s="427" t="s">
        <v>222</v>
      </c>
      <c r="B77" s="232" t="s">
        <v>68</v>
      </c>
      <c r="C77" s="500">
        <v>0</v>
      </c>
      <c r="D77" s="501"/>
      <c r="E77" s="309" t="str">
        <f t="shared" ref="E77:N77" si="14">F19</f>
        <v>版本</v>
      </c>
      <c r="F77" s="309" t="str">
        <f t="shared" si="14"/>
        <v>版本</v>
      </c>
      <c r="G77" s="309" t="str">
        <f t="shared" si="14"/>
        <v>版本</v>
      </c>
      <c r="H77" s="309" t="str">
        <f t="shared" si="14"/>
        <v>版本</v>
      </c>
      <c r="I77" s="309" t="str">
        <f t="shared" si="14"/>
        <v>版本</v>
      </c>
      <c r="J77" s="309" t="str">
        <f t="shared" si="14"/>
        <v>版本</v>
      </c>
      <c r="K77" s="309" t="str">
        <f t="shared" si="14"/>
        <v>版本</v>
      </c>
      <c r="L77" s="309" t="str">
        <f t="shared" si="14"/>
        <v>版本</v>
      </c>
      <c r="M77" s="309" t="str">
        <f t="shared" si="14"/>
        <v>版本</v>
      </c>
      <c r="N77" s="322" t="str">
        <f t="shared" si="14"/>
        <v>版本</v>
      </c>
      <c r="O77" s="311" t="str">
        <f>D40</f>
        <v>版本</v>
      </c>
      <c r="P77" s="309" t="str">
        <f>E40</f>
        <v>版本</v>
      </c>
      <c r="Q77" s="312" t="str">
        <f>F40</f>
        <v>版本</v>
      </c>
      <c r="R77" s="511">
        <f>SUM(E81:Q81)</f>
        <v>0</v>
      </c>
      <c r="S77" s="514" t="e">
        <f>SUM(E82:Q82)</f>
        <v>#VALUE!</v>
      </c>
      <c r="V77" s="210"/>
      <c r="W77" s="210"/>
      <c r="X77" s="210"/>
      <c r="Y77" s="210"/>
      <c r="Z77" s="210"/>
      <c r="AA77" s="210"/>
      <c r="AB77" s="210"/>
      <c r="AC77" s="210"/>
      <c r="AD77" s="210"/>
    </row>
    <row r="78" spans="1:41" customFormat="1" ht="21" customHeight="1">
      <c r="A78" s="428"/>
      <c r="B78" s="232" t="s">
        <v>70</v>
      </c>
      <c r="C78" s="500">
        <v>0</v>
      </c>
      <c r="D78" s="501"/>
      <c r="E78" s="134" t="str">
        <f>VLOOKUP(E77,工作表2!A28:BG32,27,FALSE)</f>
        <v>金額</v>
      </c>
      <c r="F78" s="134" t="str">
        <f>VLOOKUP(F77,工作表2!A28:BG32,28,FALSE)</f>
        <v>金額</v>
      </c>
      <c r="G78" s="134" t="str">
        <f>VLOOKUP(G77,工作表2!A28:BG32,29,FALSE)</f>
        <v>金額</v>
      </c>
      <c r="H78" s="134" t="str">
        <f>VLOOKUP(H77,工作表2!A28:BG32,30,FALSE)</f>
        <v>金額</v>
      </c>
      <c r="I78" s="134" t="str">
        <f>VLOOKUP(I77,工作表2!A28:BG32,31,FALSE)</f>
        <v>金額</v>
      </c>
      <c r="J78" s="134" t="str">
        <f>VLOOKUP(J77,工作表2!A28:BG32,32,FALSE)</f>
        <v>金額</v>
      </c>
      <c r="K78" s="134" t="str">
        <f>VLOOKUP(K77,工作表2!A28:BG32,33,FALSE)</f>
        <v>金額</v>
      </c>
      <c r="L78" s="134" t="str">
        <f>VLOOKUP(L77,工作表2!A28:BG32,34,FALSE)</f>
        <v>金額</v>
      </c>
      <c r="M78" s="134" t="str">
        <f>VLOOKUP(M77,工作表2!A38:I42,4,FALSE)</f>
        <v>金額</v>
      </c>
      <c r="N78" s="323" t="str">
        <f>VLOOKUP(N77,工作表2!A38:I42,5,FALSE)</f>
        <v>金額</v>
      </c>
      <c r="O78" s="181" t="str">
        <f>VLOOKUP(O77,工作表2!A28:BG32,35,FALSE)</f>
        <v>金額</v>
      </c>
      <c r="P78" s="134" t="str">
        <f>VLOOKUP(P77,工作表2!A28:BG32,36,FALSE)</f>
        <v>金額</v>
      </c>
      <c r="Q78" s="136" t="str">
        <f>VLOOKUP(Q77,工作表2!A28:BG32,37,FALSE)</f>
        <v>金額</v>
      </c>
      <c r="R78" s="569"/>
      <c r="S78" s="571"/>
      <c r="V78" s="210"/>
      <c r="W78" s="210"/>
      <c r="X78" s="210"/>
      <c r="Y78" s="210"/>
      <c r="Z78" s="210"/>
      <c r="AA78" s="210"/>
      <c r="AB78" s="210"/>
      <c r="AC78" s="210"/>
      <c r="AD78" s="210"/>
    </row>
    <row r="79" spans="1:41" customFormat="1" ht="21" customHeight="1">
      <c r="A79" s="428"/>
      <c r="B79" s="233" t="s">
        <v>152</v>
      </c>
      <c r="C79" s="500">
        <v>0</v>
      </c>
      <c r="D79" s="501"/>
      <c r="E79" s="306"/>
      <c r="F79" s="306"/>
      <c r="G79" s="306"/>
      <c r="H79" s="306"/>
      <c r="I79" s="306"/>
      <c r="J79" s="306"/>
      <c r="K79" s="306"/>
      <c r="L79" s="306"/>
      <c r="M79" s="306"/>
      <c r="N79" s="324"/>
      <c r="O79" s="305"/>
      <c r="P79" s="306"/>
      <c r="Q79" s="307"/>
      <c r="R79" s="569"/>
      <c r="S79" s="571"/>
      <c r="V79" s="210"/>
      <c r="W79" s="210"/>
      <c r="X79" s="210"/>
      <c r="Y79" s="210"/>
      <c r="Z79" s="210"/>
      <c r="AA79" s="210"/>
      <c r="AB79" s="210"/>
      <c r="AC79" s="210"/>
      <c r="AD79" s="210"/>
    </row>
    <row r="80" spans="1:41" customFormat="1" ht="21" customHeight="1">
      <c r="A80" s="428"/>
      <c r="B80" s="233" t="s">
        <v>261</v>
      </c>
      <c r="C80" s="500">
        <v>0</v>
      </c>
      <c r="D80" s="501"/>
      <c r="E80" s="306"/>
      <c r="F80" s="306"/>
      <c r="G80" s="306"/>
      <c r="H80" s="306"/>
      <c r="I80" s="306"/>
      <c r="J80" s="306"/>
      <c r="K80" s="306"/>
      <c r="L80" s="306"/>
      <c r="M80" s="306"/>
      <c r="N80" s="324"/>
      <c r="O80" s="305"/>
      <c r="P80" s="306"/>
      <c r="Q80" s="307"/>
      <c r="R80" s="569"/>
      <c r="S80" s="571"/>
      <c r="V80" s="210"/>
      <c r="W80" s="210"/>
      <c r="X80" s="210"/>
      <c r="Y80" s="210"/>
      <c r="Z80" s="210"/>
      <c r="AA80" s="210"/>
      <c r="AB80" s="210"/>
      <c r="AC80" s="210"/>
      <c r="AD80" s="210"/>
    </row>
    <row r="81" spans="1:45" customFormat="1" ht="21" customHeight="1">
      <c r="A81" s="428"/>
      <c r="B81" s="232" t="s">
        <v>153</v>
      </c>
      <c r="C81" s="500">
        <v>0</v>
      </c>
      <c r="D81" s="501"/>
      <c r="E81" s="164">
        <f>IF((E79-E80)&lt;0,0,(E79-E80))</f>
        <v>0</v>
      </c>
      <c r="F81" s="164">
        <f t="shared" ref="F81:Q81" si="15">IF((F79-F80)&lt;0,0,(F79-F80))</f>
        <v>0</v>
      </c>
      <c r="G81" s="164">
        <f t="shared" si="15"/>
        <v>0</v>
      </c>
      <c r="H81" s="164">
        <f t="shared" si="15"/>
        <v>0</v>
      </c>
      <c r="I81" s="164">
        <f t="shared" si="15"/>
        <v>0</v>
      </c>
      <c r="J81" s="164">
        <f t="shared" si="15"/>
        <v>0</v>
      </c>
      <c r="K81" s="164">
        <f t="shared" si="15"/>
        <v>0</v>
      </c>
      <c r="L81" s="164">
        <f t="shared" si="15"/>
        <v>0</v>
      </c>
      <c r="M81" s="164">
        <f t="shared" si="15"/>
        <v>0</v>
      </c>
      <c r="N81" s="325">
        <f t="shared" si="15"/>
        <v>0</v>
      </c>
      <c r="O81" s="182">
        <f t="shared" si="15"/>
        <v>0</v>
      </c>
      <c r="P81" s="164">
        <f t="shared" si="15"/>
        <v>0</v>
      </c>
      <c r="Q81" s="184">
        <f t="shared" si="15"/>
        <v>0</v>
      </c>
      <c r="R81" s="569"/>
      <c r="S81" s="571"/>
      <c r="V81" s="210"/>
      <c r="W81" s="210"/>
      <c r="X81" s="210"/>
      <c r="Y81" s="210"/>
      <c r="Z81" s="210"/>
      <c r="AA81" s="210"/>
      <c r="AB81" s="210"/>
      <c r="AC81" s="210"/>
      <c r="AD81" s="210"/>
    </row>
    <row r="82" spans="1:45" customFormat="1" ht="21" customHeight="1">
      <c r="A82" s="429"/>
      <c r="B82" s="232" t="s">
        <v>150</v>
      </c>
      <c r="C82" s="500">
        <v>0</v>
      </c>
      <c r="D82" s="501"/>
      <c r="E82" s="165" t="e">
        <f>E78*E81</f>
        <v>#VALUE!</v>
      </c>
      <c r="F82" s="165" t="e">
        <f>F78*F81</f>
        <v>#VALUE!</v>
      </c>
      <c r="G82" s="165" t="e">
        <f t="shared" ref="G82:Q82" si="16">G78*G81</f>
        <v>#VALUE!</v>
      </c>
      <c r="H82" s="165" t="e">
        <f t="shared" si="16"/>
        <v>#VALUE!</v>
      </c>
      <c r="I82" s="165" t="e">
        <f t="shared" si="16"/>
        <v>#VALUE!</v>
      </c>
      <c r="J82" s="165" t="e">
        <f t="shared" si="16"/>
        <v>#VALUE!</v>
      </c>
      <c r="K82" s="165" t="e">
        <f t="shared" si="16"/>
        <v>#VALUE!</v>
      </c>
      <c r="L82" s="165" t="e">
        <f t="shared" si="16"/>
        <v>#VALUE!</v>
      </c>
      <c r="M82" s="165" t="e">
        <f t="shared" si="16"/>
        <v>#VALUE!</v>
      </c>
      <c r="N82" s="326" t="e">
        <f t="shared" si="16"/>
        <v>#VALUE!</v>
      </c>
      <c r="O82" s="183" t="e">
        <f t="shared" si="16"/>
        <v>#VALUE!</v>
      </c>
      <c r="P82" s="165" t="e">
        <f t="shared" si="16"/>
        <v>#VALUE!</v>
      </c>
      <c r="Q82" s="185" t="e">
        <f t="shared" si="16"/>
        <v>#VALUE!</v>
      </c>
      <c r="R82" s="573"/>
      <c r="S82" s="574"/>
      <c r="V82" s="210"/>
      <c r="W82" s="210"/>
      <c r="X82" s="210"/>
      <c r="Y82" s="210"/>
      <c r="Z82" s="210"/>
      <c r="AA82" s="210"/>
      <c r="AB82" s="210"/>
      <c r="AC82" s="210"/>
      <c r="AD82" s="210"/>
    </row>
    <row r="83" spans="1:45" customFormat="1" ht="21" customHeight="1">
      <c r="A83" s="430" t="s">
        <v>223</v>
      </c>
      <c r="B83" s="232" t="s">
        <v>68</v>
      </c>
      <c r="C83" s="500">
        <v>0</v>
      </c>
      <c r="D83" s="501"/>
      <c r="E83" s="309" t="str">
        <f t="shared" ref="E83:N83" si="17">F21</f>
        <v>版本</v>
      </c>
      <c r="F83" s="309" t="str">
        <f t="shared" si="17"/>
        <v>版本</v>
      </c>
      <c r="G83" s="309" t="str">
        <f t="shared" si="17"/>
        <v>版本</v>
      </c>
      <c r="H83" s="309" t="str">
        <f t="shared" si="17"/>
        <v>版本</v>
      </c>
      <c r="I83" s="309" t="str">
        <f t="shared" si="17"/>
        <v>版本</v>
      </c>
      <c r="J83" s="309" t="str">
        <f t="shared" si="17"/>
        <v>版本</v>
      </c>
      <c r="K83" s="309" t="str">
        <f t="shared" si="17"/>
        <v>版本</v>
      </c>
      <c r="L83" s="309" t="str">
        <f t="shared" si="17"/>
        <v>版本</v>
      </c>
      <c r="M83" s="309" t="str">
        <f t="shared" si="17"/>
        <v>版本</v>
      </c>
      <c r="N83" s="322" t="str">
        <f t="shared" si="17"/>
        <v>版本</v>
      </c>
      <c r="O83" s="311" t="str">
        <f>D44</f>
        <v>版本</v>
      </c>
      <c r="P83" s="309" t="str">
        <f>E44</f>
        <v>版本</v>
      </c>
      <c r="Q83" s="312" t="str">
        <f>F44</f>
        <v>版本</v>
      </c>
      <c r="R83" s="511">
        <f>SUM(E87:Q87)</f>
        <v>0</v>
      </c>
      <c r="S83" s="514" t="e">
        <f>SUM(E88:Q88)</f>
        <v>#VALUE!</v>
      </c>
      <c r="V83" s="210"/>
      <c r="W83" s="210"/>
      <c r="X83" s="210"/>
      <c r="Y83" s="210"/>
      <c r="Z83" s="210"/>
      <c r="AA83" s="210"/>
      <c r="AB83" s="210"/>
      <c r="AC83" s="210"/>
      <c r="AD83" s="210"/>
    </row>
    <row r="84" spans="1:45" customFormat="1" ht="21" customHeight="1">
      <c r="A84" s="431"/>
      <c r="B84" s="232" t="s">
        <v>70</v>
      </c>
      <c r="C84" s="500">
        <v>0</v>
      </c>
      <c r="D84" s="501"/>
      <c r="E84" s="134" t="str">
        <f>VLOOKUP(E83,工作表2!A28:BG32,38,FALSE)</f>
        <v>金額</v>
      </c>
      <c r="F84" s="134" t="str">
        <f>VLOOKUP(F83,工作表2!A28:BG32,39,FALSE)</f>
        <v>金額</v>
      </c>
      <c r="G84" s="134" t="str">
        <f>VLOOKUP(G83,工作表2!A28:BG32,40,FALSE)</f>
        <v>金額</v>
      </c>
      <c r="H84" s="134" t="str">
        <f>VLOOKUP(H83,工作表2!A28:BG32,41,FALSE)</f>
        <v>金額</v>
      </c>
      <c r="I84" s="134" t="str">
        <f>VLOOKUP(I83,工作表2!A28:BG32,42,FALSE)</f>
        <v>金額</v>
      </c>
      <c r="J84" s="134" t="str">
        <f>VLOOKUP(J83,工作表2!A28:BG32,43,FALSE)</f>
        <v>金額</v>
      </c>
      <c r="K84" s="134" t="str">
        <f>VLOOKUP(K83,工作表2!A28:BG32,44,FALSE)</f>
        <v>金額</v>
      </c>
      <c r="L84" s="134" t="str">
        <f>VLOOKUP(L83,工作表2!A28:BG32,45,FALSE)</f>
        <v>金額</v>
      </c>
      <c r="M84" s="134" t="str">
        <f>VLOOKUP(M83,工作表2!A38:I42,6,FALSE)</f>
        <v>金額</v>
      </c>
      <c r="N84" s="323" t="str">
        <f>VLOOKUP(N83,工作表2!A38:I42,7,FALSE)</f>
        <v>金額</v>
      </c>
      <c r="O84" s="181" t="str">
        <f>VLOOKUP(O83,工作表2!A28:BG32,46,FALSE)</f>
        <v>金額</v>
      </c>
      <c r="P84" s="134" t="str">
        <f>VLOOKUP(P83,工作表2!A28:BG32,47,FALSE)</f>
        <v>金額</v>
      </c>
      <c r="Q84" s="136" t="str">
        <f>VLOOKUP(Q83,工作表2!A28:BG32,48,FALSE)</f>
        <v>金額</v>
      </c>
      <c r="R84" s="569"/>
      <c r="S84" s="571"/>
      <c r="V84" s="210"/>
      <c r="W84" s="210"/>
      <c r="X84" s="210"/>
      <c r="Y84" s="210"/>
      <c r="Z84" s="210"/>
      <c r="AA84" s="210"/>
      <c r="AB84" s="210"/>
      <c r="AC84" s="210"/>
      <c r="AD84" s="210"/>
    </row>
    <row r="85" spans="1:45" customFormat="1" ht="21" customHeight="1">
      <c r="A85" s="431"/>
      <c r="B85" s="233" t="s">
        <v>152</v>
      </c>
      <c r="C85" s="500">
        <v>0</v>
      </c>
      <c r="D85" s="501"/>
      <c r="E85" s="306"/>
      <c r="F85" s="306"/>
      <c r="G85" s="306"/>
      <c r="H85" s="306"/>
      <c r="I85" s="306"/>
      <c r="J85" s="306"/>
      <c r="K85" s="306"/>
      <c r="L85" s="306"/>
      <c r="M85" s="306"/>
      <c r="N85" s="324"/>
      <c r="O85" s="305"/>
      <c r="P85" s="306"/>
      <c r="Q85" s="307"/>
      <c r="R85" s="569"/>
      <c r="S85" s="571"/>
      <c r="V85" s="210"/>
      <c r="W85" s="210"/>
      <c r="X85" s="210"/>
      <c r="Y85" s="210"/>
      <c r="Z85" s="210"/>
      <c r="AA85" s="210"/>
      <c r="AB85" s="210"/>
      <c r="AC85" s="210"/>
      <c r="AD85" s="210"/>
    </row>
    <row r="86" spans="1:45" customFormat="1" ht="21" customHeight="1">
      <c r="A86" s="431"/>
      <c r="B86" s="233" t="s">
        <v>261</v>
      </c>
      <c r="C86" s="500">
        <v>0</v>
      </c>
      <c r="D86" s="501"/>
      <c r="E86" s="306"/>
      <c r="F86" s="306"/>
      <c r="G86" s="306"/>
      <c r="H86" s="306"/>
      <c r="I86" s="306"/>
      <c r="J86" s="306"/>
      <c r="K86" s="306"/>
      <c r="L86" s="306"/>
      <c r="M86" s="306"/>
      <c r="N86" s="324"/>
      <c r="O86" s="305"/>
      <c r="P86" s="306"/>
      <c r="Q86" s="307"/>
      <c r="R86" s="569"/>
      <c r="S86" s="571"/>
      <c r="V86" s="210"/>
      <c r="W86" s="210"/>
      <c r="X86" s="210"/>
      <c r="Y86" s="210"/>
      <c r="Z86" s="210"/>
      <c r="AA86" s="210"/>
      <c r="AB86" s="210"/>
      <c r="AC86" s="210"/>
      <c r="AD86" s="210"/>
    </row>
    <row r="87" spans="1:45" customFormat="1" ht="21" customHeight="1">
      <c r="A87" s="431"/>
      <c r="B87" s="232" t="s">
        <v>153</v>
      </c>
      <c r="C87" s="500">
        <v>0</v>
      </c>
      <c r="D87" s="501"/>
      <c r="E87" s="164">
        <f>IF((E85-E86)&lt;0,0,(E85-E86))</f>
        <v>0</v>
      </c>
      <c r="F87" s="164">
        <f t="shared" ref="F87:Q87" si="18">IF((F85-F86)&lt;0,0,(F85-F86))</f>
        <v>0</v>
      </c>
      <c r="G87" s="164">
        <f t="shared" si="18"/>
        <v>0</v>
      </c>
      <c r="H87" s="164">
        <f t="shared" si="18"/>
        <v>0</v>
      </c>
      <c r="I87" s="164">
        <f t="shared" si="18"/>
        <v>0</v>
      </c>
      <c r="J87" s="164">
        <f t="shared" si="18"/>
        <v>0</v>
      </c>
      <c r="K87" s="164">
        <f t="shared" si="18"/>
        <v>0</v>
      </c>
      <c r="L87" s="164">
        <f t="shared" si="18"/>
        <v>0</v>
      </c>
      <c r="M87" s="164">
        <f t="shared" si="18"/>
        <v>0</v>
      </c>
      <c r="N87" s="325">
        <f t="shared" si="18"/>
        <v>0</v>
      </c>
      <c r="O87" s="182">
        <f t="shared" si="18"/>
        <v>0</v>
      </c>
      <c r="P87" s="164">
        <f t="shared" si="18"/>
        <v>0</v>
      </c>
      <c r="Q87" s="184">
        <f t="shared" si="18"/>
        <v>0</v>
      </c>
      <c r="R87" s="569"/>
      <c r="S87" s="571"/>
      <c r="V87" s="210"/>
      <c r="W87" s="210"/>
      <c r="X87" s="210"/>
      <c r="Y87" s="210"/>
      <c r="Z87" s="210"/>
      <c r="AA87" s="210"/>
      <c r="AB87" s="210"/>
      <c r="AC87" s="210"/>
      <c r="AD87" s="210"/>
    </row>
    <row r="88" spans="1:45" customFormat="1" ht="21" customHeight="1">
      <c r="A88" s="432"/>
      <c r="B88" s="232" t="s">
        <v>150</v>
      </c>
      <c r="C88" s="500">
        <v>0</v>
      </c>
      <c r="D88" s="501"/>
      <c r="E88" s="165" t="e">
        <f>E84*E87</f>
        <v>#VALUE!</v>
      </c>
      <c r="F88" s="165" t="e">
        <f>F84*F87</f>
        <v>#VALUE!</v>
      </c>
      <c r="G88" s="165" t="e">
        <f t="shared" ref="G88:Q88" si="19">G84*G87</f>
        <v>#VALUE!</v>
      </c>
      <c r="H88" s="165" t="e">
        <f t="shared" si="19"/>
        <v>#VALUE!</v>
      </c>
      <c r="I88" s="165" t="e">
        <f t="shared" si="19"/>
        <v>#VALUE!</v>
      </c>
      <c r="J88" s="165" t="e">
        <f t="shared" si="19"/>
        <v>#VALUE!</v>
      </c>
      <c r="K88" s="165" t="e">
        <f t="shared" si="19"/>
        <v>#VALUE!</v>
      </c>
      <c r="L88" s="165" t="e">
        <f t="shared" si="19"/>
        <v>#VALUE!</v>
      </c>
      <c r="M88" s="165" t="e">
        <f t="shared" si="19"/>
        <v>#VALUE!</v>
      </c>
      <c r="N88" s="326" t="e">
        <f t="shared" si="19"/>
        <v>#VALUE!</v>
      </c>
      <c r="O88" s="183" t="e">
        <f t="shared" si="19"/>
        <v>#VALUE!</v>
      </c>
      <c r="P88" s="165" t="e">
        <f t="shared" si="19"/>
        <v>#VALUE!</v>
      </c>
      <c r="Q88" s="185" t="e">
        <f t="shared" si="19"/>
        <v>#VALUE!</v>
      </c>
      <c r="R88" s="573"/>
      <c r="S88" s="574"/>
      <c r="V88" s="210"/>
      <c r="W88" s="210"/>
      <c r="X88" s="210"/>
      <c r="Y88" s="210"/>
      <c r="Z88" s="210"/>
      <c r="AA88" s="210"/>
      <c r="AB88" s="210"/>
      <c r="AC88" s="210"/>
      <c r="AD88" s="210"/>
    </row>
    <row r="89" spans="1:45" customFormat="1" ht="21" customHeight="1">
      <c r="A89" s="427" t="s">
        <v>224</v>
      </c>
      <c r="B89" s="232" t="s">
        <v>68</v>
      </c>
      <c r="C89" s="500">
        <v>0</v>
      </c>
      <c r="D89" s="501"/>
      <c r="E89" s="309" t="str">
        <f t="shared" ref="E89:N89" si="20">F23</f>
        <v>版本</v>
      </c>
      <c r="F89" s="309" t="str">
        <f t="shared" si="20"/>
        <v>版本</v>
      </c>
      <c r="G89" s="309" t="str">
        <f t="shared" si="20"/>
        <v>版本</v>
      </c>
      <c r="H89" s="309" t="str">
        <f t="shared" si="20"/>
        <v>版本</v>
      </c>
      <c r="I89" s="309" t="str">
        <f t="shared" si="20"/>
        <v>版本</v>
      </c>
      <c r="J89" s="309" t="str">
        <f t="shared" si="20"/>
        <v>版本</v>
      </c>
      <c r="K89" s="309" t="str">
        <f t="shared" si="20"/>
        <v>版本</v>
      </c>
      <c r="L89" s="309" t="str">
        <f t="shared" si="20"/>
        <v>版本</v>
      </c>
      <c r="M89" s="309" t="str">
        <f t="shared" si="20"/>
        <v>版本</v>
      </c>
      <c r="N89" s="322" t="str">
        <f t="shared" si="20"/>
        <v>版本</v>
      </c>
      <c r="O89" s="311" t="str">
        <f>D48</f>
        <v>版本</v>
      </c>
      <c r="P89" s="309" t="str">
        <f>E48</f>
        <v>版本</v>
      </c>
      <c r="Q89" s="312" t="str">
        <f>F48</f>
        <v>版本</v>
      </c>
      <c r="R89" s="511">
        <f>SUM(E93:Q93)</f>
        <v>0</v>
      </c>
      <c r="S89" s="514" t="e">
        <f>SUM(E94:Q94)</f>
        <v>#VALUE!</v>
      </c>
      <c r="V89" s="210"/>
      <c r="W89" s="210"/>
      <c r="X89" s="210"/>
      <c r="Y89" s="210"/>
      <c r="Z89" s="210"/>
      <c r="AA89" s="210"/>
      <c r="AB89" s="210"/>
      <c r="AC89" s="210"/>
      <c r="AD89" s="210"/>
    </row>
    <row r="90" spans="1:45" customFormat="1" ht="21" customHeight="1">
      <c r="A90" s="428"/>
      <c r="B90" s="232" t="s">
        <v>70</v>
      </c>
      <c r="C90" s="500">
        <v>0</v>
      </c>
      <c r="D90" s="501"/>
      <c r="E90" s="134" t="str">
        <f>VLOOKUP(E89,工作表2!A28:BG32,49,FALSE)</f>
        <v>金額</v>
      </c>
      <c r="F90" s="134" t="str">
        <f>VLOOKUP(F89,工作表2!A28:BG32,50,FALSE)</f>
        <v>金額</v>
      </c>
      <c r="G90" s="134" t="str">
        <f>VLOOKUP(G89,工作表2!A28:BG32,51,FALSE)</f>
        <v>金額</v>
      </c>
      <c r="H90" s="134" t="str">
        <f>VLOOKUP(H89,工作表2!A28:BG32,52,FALSE)</f>
        <v>金額</v>
      </c>
      <c r="I90" s="134" t="str">
        <f>VLOOKUP(I89,工作表2!A28:BG32,53,FALSE)</f>
        <v>金額</v>
      </c>
      <c r="J90" s="134" t="str">
        <f>VLOOKUP(J89,工作表2!A28:BG32,54,FALSE)</f>
        <v>金額</v>
      </c>
      <c r="K90" s="134" t="str">
        <f>VLOOKUP(K89,工作表2!A28:BG32,55,FALSE)</f>
        <v>金額</v>
      </c>
      <c r="L90" s="134" t="str">
        <f>VLOOKUP(L89,工作表2!A28:BG32,56,FALSE)</f>
        <v>金額</v>
      </c>
      <c r="M90" s="134" t="str">
        <f>VLOOKUP(M89,工作表2!A38:I42,8,FALSE)</f>
        <v>金額</v>
      </c>
      <c r="N90" s="323" t="str">
        <f>VLOOKUP(N89,工作表2!A38:I42,9,FALSE)</f>
        <v>金額</v>
      </c>
      <c r="O90" s="181" t="str">
        <f>VLOOKUP(O89,工作表2!A28:BG32,57,FALSE)</f>
        <v>金額</v>
      </c>
      <c r="P90" s="134" t="str">
        <f>VLOOKUP(P89,工作表2!A28:BG32,58,FALSE)</f>
        <v>金額</v>
      </c>
      <c r="Q90" s="136" t="str">
        <f>VLOOKUP(Q89,工作表2!A28:BG32,59,FALSE)</f>
        <v>金額</v>
      </c>
      <c r="R90" s="569"/>
      <c r="S90" s="571"/>
    </row>
    <row r="91" spans="1:45" customFormat="1" ht="21" customHeight="1">
      <c r="A91" s="428"/>
      <c r="B91" s="233" t="s">
        <v>152</v>
      </c>
      <c r="C91" s="500">
        <v>0</v>
      </c>
      <c r="D91" s="501"/>
      <c r="E91" s="306"/>
      <c r="F91" s="306"/>
      <c r="G91" s="306"/>
      <c r="H91" s="306"/>
      <c r="I91" s="306"/>
      <c r="J91" s="306"/>
      <c r="K91" s="306"/>
      <c r="L91" s="306"/>
      <c r="M91" s="306"/>
      <c r="N91" s="324"/>
      <c r="O91" s="305"/>
      <c r="P91" s="306"/>
      <c r="Q91" s="307"/>
      <c r="R91" s="569"/>
      <c r="S91" s="571"/>
    </row>
    <row r="92" spans="1:45" customFormat="1" ht="21" customHeight="1">
      <c r="A92" s="428"/>
      <c r="B92" s="233" t="s">
        <v>261</v>
      </c>
      <c r="C92" s="500">
        <v>0</v>
      </c>
      <c r="D92" s="501"/>
      <c r="E92" s="306"/>
      <c r="F92" s="306"/>
      <c r="G92" s="306"/>
      <c r="H92" s="306"/>
      <c r="I92" s="306"/>
      <c r="J92" s="306"/>
      <c r="K92" s="306"/>
      <c r="L92" s="306"/>
      <c r="M92" s="306"/>
      <c r="N92" s="324"/>
      <c r="O92" s="305"/>
      <c r="P92" s="306"/>
      <c r="Q92" s="307"/>
      <c r="R92" s="569"/>
      <c r="S92" s="571"/>
    </row>
    <row r="93" spans="1:45" customFormat="1" ht="21" customHeight="1">
      <c r="A93" s="428"/>
      <c r="B93" s="232" t="s">
        <v>153</v>
      </c>
      <c r="C93" s="500">
        <v>0</v>
      </c>
      <c r="D93" s="501"/>
      <c r="E93" s="164">
        <f>IF((E91-E92)&lt;0,0,(E91-E92))</f>
        <v>0</v>
      </c>
      <c r="F93" s="164">
        <f t="shared" ref="F93:Q93" si="21">IF((F91-F92)&lt;0,0,(F91-F92))</f>
        <v>0</v>
      </c>
      <c r="G93" s="164">
        <f t="shared" si="21"/>
        <v>0</v>
      </c>
      <c r="H93" s="164">
        <f t="shared" si="21"/>
        <v>0</v>
      </c>
      <c r="I93" s="164">
        <f t="shared" si="21"/>
        <v>0</v>
      </c>
      <c r="J93" s="164">
        <f t="shared" si="21"/>
        <v>0</v>
      </c>
      <c r="K93" s="164">
        <f t="shared" si="21"/>
        <v>0</v>
      </c>
      <c r="L93" s="164">
        <f t="shared" si="21"/>
        <v>0</v>
      </c>
      <c r="M93" s="164">
        <f t="shared" si="21"/>
        <v>0</v>
      </c>
      <c r="N93" s="325">
        <f t="shared" si="21"/>
        <v>0</v>
      </c>
      <c r="O93" s="182">
        <f t="shared" si="21"/>
        <v>0</v>
      </c>
      <c r="P93" s="164">
        <f t="shared" si="21"/>
        <v>0</v>
      </c>
      <c r="Q93" s="184">
        <f t="shared" si="21"/>
        <v>0</v>
      </c>
      <c r="R93" s="569"/>
      <c r="S93" s="571"/>
    </row>
    <row r="94" spans="1:45" customFormat="1" ht="21" customHeight="1" thickBot="1">
      <c r="A94" s="526"/>
      <c r="B94" s="234" t="s">
        <v>150</v>
      </c>
      <c r="C94" s="502">
        <v>0</v>
      </c>
      <c r="D94" s="503"/>
      <c r="E94" s="186" t="e">
        <f>E90*E93</f>
        <v>#VALUE!</v>
      </c>
      <c r="F94" s="186" t="e">
        <f>F90*F93</f>
        <v>#VALUE!</v>
      </c>
      <c r="G94" s="186" t="e">
        <f t="shared" ref="G94:Q94" si="22">G90*G93</f>
        <v>#VALUE!</v>
      </c>
      <c r="H94" s="186" t="e">
        <f t="shared" si="22"/>
        <v>#VALUE!</v>
      </c>
      <c r="I94" s="186" t="e">
        <f t="shared" si="22"/>
        <v>#VALUE!</v>
      </c>
      <c r="J94" s="186" t="e">
        <f t="shared" si="22"/>
        <v>#VALUE!</v>
      </c>
      <c r="K94" s="186" t="e">
        <f t="shared" si="22"/>
        <v>#VALUE!</v>
      </c>
      <c r="L94" s="186" t="e">
        <f t="shared" si="22"/>
        <v>#VALUE!</v>
      </c>
      <c r="M94" s="186" t="e">
        <f t="shared" si="22"/>
        <v>#VALUE!</v>
      </c>
      <c r="N94" s="327" t="e">
        <f t="shared" si="22"/>
        <v>#VALUE!</v>
      </c>
      <c r="O94" s="193" t="e">
        <f t="shared" si="22"/>
        <v>#VALUE!</v>
      </c>
      <c r="P94" s="186" t="e">
        <f t="shared" si="22"/>
        <v>#VALUE!</v>
      </c>
      <c r="Q94" s="187" t="e">
        <f t="shared" si="22"/>
        <v>#VALUE!</v>
      </c>
      <c r="R94" s="570"/>
      <c r="S94" s="572"/>
    </row>
    <row r="95" spans="1:45" customFormat="1" ht="35.25" customHeight="1" thickBot="1">
      <c r="A95" s="643" t="s">
        <v>258</v>
      </c>
      <c r="B95" s="644"/>
      <c r="C95" s="528"/>
      <c r="D95" s="528"/>
      <c r="E95" s="528"/>
      <c r="F95" s="528"/>
      <c r="G95" s="528"/>
      <c r="H95" s="528"/>
      <c r="I95" s="528"/>
      <c r="J95" s="528"/>
      <c r="K95" s="528"/>
      <c r="L95" s="528"/>
      <c r="M95" s="528"/>
      <c r="N95" s="528"/>
      <c r="O95" s="528"/>
      <c r="P95" s="528"/>
      <c r="Q95" s="645"/>
      <c r="R95" s="199" t="s">
        <v>9</v>
      </c>
      <c r="S95" s="303" t="e">
        <f>SUM(S59:S94)</f>
        <v>#VALUE!</v>
      </c>
    </row>
    <row r="96" spans="1:45" customFormat="1">
      <c r="A96" s="223"/>
      <c r="B96" s="224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5"/>
      <c r="S96" s="226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10"/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</row>
    <row r="97" spans="1:39" ht="17.25" thickBot="1"/>
    <row r="98" spans="1:39" ht="32.25" customHeight="1" thickBot="1">
      <c r="A98" s="437" t="s">
        <v>246</v>
      </c>
      <c r="B98" s="692"/>
      <c r="C98" s="692"/>
      <c r="D98" s="692"/>
      <c r="E98" s="692"/>
      <c r="F98" s="692"/>
      <c r="G98" s="692"/>
      <c r="H98" s="692"/>
      <c r="I98" s="692"/>
      <c r="J98" s="692"/>
      <c r="K98" s="692"/>
      <c r="L98" s="692"/>
      <c r="M98" s="692"/>
      <c r="N98" s="692"/>
      <c r="O98" s="692"/>
      <c r="P98" s="692"/>
      <c r="Q98" s="692"/>
      <c r="R98" s="692"/>
      <c r="S98" s="693"/>
      <c r="V98"/>
      <c r="W98" s="358" t="s">
        <v>254</v>
      </c>
      <c r="X98" s="358"/>
      <c r="Y98" s="473"/>
      <c r="Z98" s="473"/>
      <c r="AA98" s="473"/>
      <c r="AB98" s="473"/>
      <c r="AC98" s="473"/>
      <c r="AD98" s="473"/>
      <c r="AE98" s="473"/>
      <c r="AF98" s="473"/>
      <c r="AG98" s="473"/>
      <c r="AH98"/>
      <c r="AI98"/>
      <c r="AJ98"/>
      <c r="AK98"/>
      <c r="AL98"/>
      <c r="AM98"/>
    </row>
    <row r="99" spans="1:39" ht="25.9" customHeight="1">
      <c r="A99" s="646" t="s">
        <v>185</v>
      </c>
      <c r="B99" s="649" t="s">
        <v>230</v>
      </c>
      <c r="C99" s="650"/>
      <c r="D99" s="653" t="s">
        <v>48</v>
      </c>
      <c r="E99" s="653"/>
      <c r="F99" s="653" t="s">
        <v>49</v>
      </c>
      <c r="G99" s="653"/>
      <c r="H99" s="653" t="s">
        <v>50</v>
      </c>
      <c r="I99" s="653"/>
      <c r="J99" s="653" t="s">
        <v>91</v>
      </c>
      <c r="K99" s="653"/>
      <c r="L99" s="654" t="s">
        <v>51</v>
      </c>
      <c r="M99" s="655"/>
      <c r="N99" s="653" t="s">
        <v>52</v>
      </c>
      <c r="O99" s="656"/>
      <c r="P99" s="657" t="s">
        <v>247</v>
      </c>
      <c r="Q99" s="659" t="s">
        <v>253</v>
      </c>
      <c r="R99" s="660"/>
      <c r="S99" s="662" t="s">
        <v>248</v>
      </c>
      <c r="V99" s="146"/>
      <c r="W99" s="351" t="s">
        <v>36</v>
      </c>
      <c r="X99" s="351"/>
      <c r="Y99" s="352"/>
      <c r="Z99" s="354" t="s">
        <v>10</v>
      </c>
      <c r="AA99" s="354"/>
      <c r="AB99" s="352"/>
      <c r="AC99" s="353" t="s">
        <v>11</v>
      </c>
      <c r="AD99" s="353"/>
      <c r="AE99" s="352"/>
      <c r="AF99" s="355" t="s">
        <v>127</v>
      </c>
      <c r="AG99" s="352"/>
      <c r="AH99" s="2"/>
      <c r="AI99" s="2"/>
      <c r="AJ99" s="2"/>
      <c r="AK99" s="2"/>
      <c r="AL99" s="2"/>
      <c r="AM99" s="2"/>
    </row>
    <row r="100" spans="1:39">
      <c r="A100" s="647"/>
      <c r="B100" s="651"/>
      <c r="C100" s="652"/>
      <c r="D100" s="269" t="s">
        <v>53</v>
      </c>
      <c r="E100" s="269" t="s">
        <v>54</v>
      </c>
      <c r="F100" s="269" t="s">
        <v>53</v>
      </c>
      <c r="G100" s="269" t="s">
        <v>54</v>
      </c>
      <c r="H100" s="269" t="s">
        <v>53</v>
      </c>
      <c r="I100" s="269" t="s">
        <v>54</v>
      </c>
      <c r="J100" s="269" t="s">
        <v>53</v>
      </c>
      <c r="K100" s="269" t="s">
        <v>54</v>
      </c>
      <c r="L100" s="269" t="s">
        <v>53</v>
      </c>
      <c r="M100" s="270" t="s">
        <v>54</v>
      </c>
      <c r="N100" s="269" t="s">
        <v>53</v>
      </c>
      <c r="O100" s="271" t="s">
        <v>54</v>
      </c>
      <c r="P100" s="658"/>
      <c r="Q100" s="661"/>
      <c r="R100" s="660"/>
      <c r="S100" s="663"/>
      <c r="V100" s="2"/>
      <c r="W100" s="146" t="s">
        <v>7</v>
      </c>
      <c r="X100" s="238" t="s">
        <v>8</v>
      </c>
      <c r="Y100" s="160" t="s">
        <v>137</v>
      </c>
      <c r="Z100" s="146" t="s">
        <v>7</v>
      </c>
      <c r="AA100" s="238" t="s">
        <v>8</v>
      </c>
      <c r="AB100" s="160" t="s">
        <v>137</v>
      </c>
      <c r="AC100" s="146" t="s">
        <v>7</v>
      </c>
      <c r="AD100" s="238" t="s">
        <v>8</v>
      </c>
      <c r="AE100" s="160" t="s">
        <v>137</v>
      </c>
      <c r="AF100" s="146" t="s">
        <v>7</v>
      </c>
      <c r="AG100" s="160" t="s">
        <v>137</v>
      </c>
      <c r="AH100" s="2"/>
      <c r="AI100" s="2"/>
      <c r="AJ100" s="2"/>
      <c r="AK100" s="2"/>
      <c r="AL100" s="2"/>
      <c r="AM100" s="2"/>
    </row>
    <row r="101" spans="1:39">
      <c r="A101" s="647"/>
      <c r="B101" s="664" t="s">
        <v>55</v>
      </c>
      <c r="C101" s="272" t="s">
        <v>68</v>
      </c>
      <c r="D101" s="269" t="str">
        <f t="shared" ref="D101:I101" si="23">D13</f>
        <v>版本</v>
      </c>
      <c r="E101" s="269" t="str">
        <f t="shared" si="23"/>
        <v>版本</v>
      </c>
      <c r="F101" s="269" t="str">
        <f t="shared" si="23"/>
        <v>版本</v>
      </c>
      <c r="G101" s="269" t="str">
        <f t="shared" si="23"/>
        <v>版本</v>
      </c>
      <c r="H101" s="269" t="str">
        <f t="shared" si="23"/>
        <v>版本</v>
      </c>
      <c r="I101" s="269" t="str">
        <f t="shared" si="23"/>
        <v>版本</v>
      </c>
      <c r="J101" s="665"/>
      <c r="K101" s="666"/>
      <c r="L101" s="665"/>
      <c r="M101" s="666"/>
      <c r="N101" s="614"/>
      <c r="O101" s="615"/>
      <c r="P101" s="616">
        <f>SUM(D102:I102)</f>
        <v>0</v>
      </c>
      <c r="Q101" s="618">
        <f>P101*E9</f>
        <v>0</v>
      </c>
      <c r="R101" s="619"/>
      <c r="S101" s="621">
        <f>P101*E8</f>
        <v>0</v>
      </c>
      <c r="V101" s="362" t="s">
        <v>102</v>
      </c>
      <c r="W101" s="358">
        <f>SUMIF(D101:I101,"康軒",D102:I102)*E9</f>
        <v>0</v>
      </c>
      <c r="X101" s="544">
        <f>SUMIF(D116,"康軒",D119)</f>
        <v>0</v>
      </c>
      <c r="Y101" s="356">
        <f>SUMIF(D101:I101,"康軒",D102:I102)*E8</f>
        <v>0</v>
      </c>
      <c r="Z101" s="358">
        <f>SUMIF(D101:I101,"翰林",D102:I102)*E9</f>
        <v>0</v>
      </c>
      <c r="AA101" s="544">
        <f>SUMIF(D116,"翰林",D119)</f>
        <v>0</v>
      </c>
      <c r="AB101" s="356">
        <f>SUMIF(D101:I101,"翰林",D102:I102)*E8</f>
        <v>0</v>
      </c>
      <c r="AC101" s="358">
        <f>SUMIF(D101:I101,"南一",D102:I102)*E9</f>
        <v>0</v>
      </c>
      <c r="AD101" s="544">
        <f>SUMIF(D116,"南一",D119)</f>
        <v>0</v>
      </c>
      <c r="AE101" s="356">
        <f>SUMIF(D101:I101,"南一",D102:I102)*E8</f>
        <v>0</v>
      </c>
      <c r="AF101" s="358"/>
      <c r="AG101" s="356"/>
      <c r="AH101" s="2"/>
      <c r="AI101" s="2"/>
      <c r="AJ101" s="2"/>
      <c r="AK101" s="2"/>
      <c r="AL101" s="2"/>
      <c r="AM101" s="2"/>
    </row>
    <row r="102" spans="1:39">
      <c r="A102" s="647"/>
      <c r="B102" s="664"/>
      <c r="C102" s="272" t="s">
        <v>70</v>
      </c>
      <c r="D102" s="273" t="str">
        <f>VLOOKUP(D101,工作表2!$BH$5:$DN$9,2,FALSE)</f>
        <v>金額</v>
      </c>
      <c r="E102" s="273" t="str">
        <f>VLOOKUP(E101,工作表2!$BH$5:$DN$9,3,FALSE)</f>
        <v>金額</v>
      </c>
      <c r="F102" s="273" t="str">
        <f>VLOOKUP(F101,工作表2!$BH$5:$DN$9,4,FALSE)</f>
        <v>金額</v>
      </c>
      <c r="G102" s="273" t="str">
        <f>VLOOKUP(G101,工作表2!$BH$5:$DN$9,5,FALSE)</f>
        <v>金額</v>
      </c>
      <c r="H102" s="273" t="str">
        <f>VLOOKUP(H101,工作表2!$BH$5:$DN$9,6,FALSE)</f>
        <v>金額</v>
      </c>
      <c r="I102" s="273" t="str">
        <f>VLOOKUP(I101,工作表2!$BH$5:$DN$9,7,FALSE)</f>
        <v>金額</v>
      </c>
      <c r="J102" s="667"/>
      <c r="K102" s="668"/>
      <c r="L102" s="667"/>
      <c r="M102" s="668"/>
      <c r="N102" s="614"/>
      <c r="O102" s="615"/>
      <c r="P102" s="617"/>
      <c r="Q102" s="620"/>
      <c r="R102" s="619"/>
      <c r="S102" s="622"/>
      <c r="V102" s="362"/>
      <c r="W102" s="358"/>
      <c r="X102" s="544"/>
      <c r="Y102" s="356"/>
      <c r="Z102" s="358"/>
      <c r="AA102" s="544"/>
      <c r="AB102" s="356"/>
      <c r="AC102" s="358"/>
      <c r="AD102" s="544"/>
      <c r="AE102" s="356"/>
      <c r="AF102" s="358"/>
      <c r="AG102" s="356"/>
      <c r="AH102" s="2"/>
      <c r="AI102" s="2"/>
      <c r="AJ102" s="2"/>
      <c r="AK102" s="2"/>
      <c r="AL102" s="2"/>
      <c r="AM102" s="2"/>
    </row>
    <row r="103" spans="1:39">
      <c r="A103" s="647"/>
      <c r="B103" s="664" t="s">
        <v>56</v>
      </c>
      <c r="C103" s="272" t="s">
        <v>68</v>
      </c>
      <c r="D103" s="269" t="str">
        <f t="shared" ref="D103:I103" si="24">D15</f>
        <v>版本</v>
      </c>
      <c r="E103" s="269" t="str">
        <f t="shared" si="24"/>
        <v>版本</v>
      </c>
      <c r="F103" s="269" t="str">
        <f t="shared" si="24"/>
        <v>版本</v>
      </c>
      <c r="G103" s="269" t="str">
        <f t="shared" si="24"/>
        <v>版本</v>
      </c>
      <c r="H103" s="269" t="str">
        <f t="shared" si="24"/>
        <v>版本</v>
      </c>
      <c r="I103" s="269" t="str">
        <f t="shared" si="24"/>
        <v>版本</v>
      </c>
      <c r="J103" s="665"/>
      <c r="K103" s="666"/>
      <c r="L103" s="665"/>
      <c r="M103" s="666"/>
      <c r="N103" s="614"/>
      <c r="O103" s="615"/>
      <c r="P103" s="616">
        <f>SUM(D104:I104)</f>
        <v>0</v>
      </c>
      <c r="Q103" s="618">
        <f>P103*F9</f>
        <v>0</v>
      </c>
      <c r="R103" s="619"/>
      <c r="S103" s="621">
        <f>P103*F8</f>
        <v>0</v>
      </c>
      <c r="V103" s="362" t="s">
        <v>101</v>
      </c>
      <c r="W103" s="358">
        <f>SUMIF(D103:I103,"康軒",D104:I104)*F9</f>
        <v>0</v>
      </c>
      <c r="X103" s="544">
        <f>SUMIF(D120,"康軒",D123)</f>
        <v>0</v>
      </c>
      <c r="Y103" s="356">
        <f>SUMIF(D103:I103,"康軒",D104:I104)*F8</f>
        <v>0</v>
      </c>
      <c r="Z103" s="358">
        <f>SUMIF(D103:I103,"翰林",D104:I104)*F9</f>
        <v>0</v>
      </c>
      <c r="AA103" s="544">
        <f>SUMIF(D120,"翰林",D123)</f>
        <v>0</v>
      </c>
      <c r="AB103" s="356">
        <f>SUMIF(D103:I103,"翰林",D104:I104)*F8</f>
        <v>0</v>
      </c>
      <c r="AC103" s="358">
        <f>SUMIF(D103:I103,"南一",D104:I104)*F9</f>
        <v>0</v>
      </c>
      <c r="AD103" s="544">
        <f>SUMIF(D120,"南一",D123)</f>
        <v>0</v>
      </c>
      <c r="AE103" s="356">
        <f>SUMIF(D103:I103,"南一",D104:I104)*F8</f>
        <v>0</v>
      </c>
      <c r="AF103" s="358"/>
      <c r="AG103" s="356"/>
      <c r="AH103" s="2"/>
      <c r="AI103" s="2"/>
      <c r="AJ103" s="2"/>
      <c r="AK103" s="2"/>
      <c r="AL103" s="2"/>
      <c r="AM103" s="2"/>
    </row>
    <row r="104" spans="1:39">
      <c r="A104" s="647"/>
      <c r="B104" s="664"/>
      <c r="C104" s="272" t="s">
        <v>70</v>
      </c>
      <c r="D104" s="273" t="str">
        <f>VLOOKUP(D103,工作表2!$BH$5:$DN$9,9,FALSE)</f>
        <v>金額</v>
      </c>
      <c r="E104" s="273" t="str">
        <f>VLOOKUP(E103,工作表2!$BH$5:$DN$9,10,FALSE)</f>
        <v>金額</v>
      </c>
      <c r="F104" s="273" t="str">
        <f>VLOOKUP(F103,工作表2!$BH$5:$DN$9,11,FALSE)</f>
        <v>金額</v>
      </c>
      <c r="G104" s="273" t="str">
        <f>VLOOKUP(G103,工作表2!$BH$5:$DN$9,12,FALSE)</f>
        <v>金額</v>
      </c>
      <c r="H104" s="273" t="str">
        <f>VLOOKUP(H103,工作表2!$BH$5:$DN$9,13,FALSE)</f>
        <v>金額</v>
      </c>
      <c r="I104" s="273" t="str">
        <f>VLOOKUP(I103,工作表2!$BH$5:$DN$9,14,FALSE)</f>
        <v>金額</v>
      </c>
      <c r="J104" s="667"/>
      <c r="K104" s="668"/>
      <c r="L104" s="667"/>
      <c r="M104" s="668"/>
      <c r="N104" s="614"/>
      <c r="O104" s="615"/>
      <c r="P104" s="617"/>
      <c r="Q104" s="620"/>
      <c r="R104" s="619"/>
      <c r="S104" s="622"/>
      <c r="V104" s="362"/>
      <c r="W104" s="358"/>
      <c r="X104" s="544"/>
      <c r="Y104" s="356"/>
      <c r="Z104" s="358"/>
      <c r="AA104" s="544"/>
      <c r="AB104" s="356"/>
      <c r="AC104" s="358"/>
      <c r="AD104" s="544"/>
      <c r="AE104" s="356"/>
      <c r="AF104" s="358"/>
      <c r="AG104" s="356"/>
      <c r="AH104" s="2"/>
      <c r="AI104" s="2"/>
      <c r="AJ104" s="2"/>
      <c r="AK104" s="2"/>
      <c r="AL104" s="2"/>
      <c r="AM104" s="2"/>
    </row>
    <row r="105" spans="1:39">
      <c r="A105" s="647"/>
      <c r="B105" s="664" t="s">
        <v>57</v>
      </c>
      <c r="C105" s="272" t="s">
        <v>68</v>
      </c>
      <c r="D105" s="665"/>
      <c r="E105" s="666"/>
      <c r="F105" s="269" t="str">
        <f t="shared" ref="F105:O105" si="25">F17</f>
        <v>版本</v>
      </c>
      <c r="G105" s="269" t="str">
        <f t="shared" si="25"/>
        <v>版本</v>
      </c>
      <c r="H105" s="269" t="str">
        <f t="shared" si="25"/>
        <v>版本</v>
      </c>
      <c r="I105" s="269" t="str">
        <f t="shared" si="25"/>
        <v>版本</v>
      </c>
      <c r="J105" s="269" t="str">
        <f t="shared" si="25"/>
        <v>版本</v>
      </c>
      <c r="K105" s="269" t="str">
        <f t="shared" si="25"/>
        <v>版本</v>
      </c>
      <c r="L105" s="269" t="str">
        <f t="shared" si="25"/>
        <v>版本</v>
      </c>
      <c r="M105" s="269" t="str">
        <f t="shared" si="25"/>
        <v>版本</v>
      </c>
      <c r="N105" s="269" t="str">
        <f t="shared" si="25"/>
        <v>版本</v>
      </c>
      <c r="O105" s="271" t="str">
        <f t="shared" si="25"/>
        <v>版本</v>
      </c>
      <c r="P105" s="616">
        <f>SUM(F106:O106)</f>
        <v>0</v>
      </c>
      <c r="Q105" s="618">
        <f>P105*G9</f>
        <v>0</v>
      </c>
      <c r="R105" s="619"/>
      <c r="S105" s="621">
        <f>P105*G8</f>
        <v>0</v>
      </c>
      <c r="V105" s="362" t="s">
        <v>100</v>
      </c>
      <c r="W105" s="358">
        <f>SUMIF(F105:O105,"康軒",F106:O106)*G9</f>
        <v>0</v>
      </c>
      <c r="X105" s="544">
        <f>SUMIF(D124:F124,"康軒",D127:F127)</f>
        <v>0</v>
      </c>
      <c r="Y105" s="356">
        <f>SUMIF(F105:O105,"康軒",F106:O106)*G8</f>
        <v>0</v>
      </c>
      <c r="Z105" s="358">
        <f>SUMIF(F105:O105,"翰林",F106:O106)*G9</f>
        <v>0</v>
      </c>
      <c r="AA105" s="544">
        <f>SUMIF(D124:F124,"翰林",D127:F127)</f>
        <v>0</v>
      </c>
      <c r="AB105" s="356">
        <f>SUMIF(F105:O105,"翰林",F106:O106)*G8</f>
        <v>0</v>
      </c>
      <c r="AC105" s="358">
        <f>SUMIF(F105:O105,"南一",F106:O106)*G9</f>
        <v>0</v>
      </c>
      <c r="AD105" s="544">
        <f>SUMIF(D124:F124,"南一",D127:F127)</f>
        <v>0</v>
      </c>
      <c r="AE105" s="356">
        <f>SUMIF(F105:O105,"南一",F106:O106)*G8</f>
        <v>0</v>
      </c>
      <c r="AF105" s="358">
        <f>SUMIF(F105:O105,"何嘉仁",F106:O106)*G9</f>
        <v>0</v>
      </c>
      <c r="AG105" s="356">
        <f>SUMIF(F105:O105,"何嘉仁",F106:O106)*G8</f>
        <v>0</v>
      </c>
      <c r="AH105" s="2"/>
      <c r="AI105" s="2"/>
      <c r="AJ105" s="2"/>
      <c r="AK105" s="2"/>
      <c r="AL105" s="2"/>
      <c r="AM105" s="2"/>
    </row>
    <row r="106" spans="1:39">
      <c r="A106" s="647"/>
      <c r="B106" s="664"/>
      <c r="C106" s="272" t="s">
        <v>70</v>
      </c>
      <c r="D106" s="669"/>
      <c r="E106" s="670"/>
      <c r="F106" s="273" t="str">
        <f>VLOOKUP(F105,工作表2!$BH$5:$DN$9,16,FALSE)</f>
        <v>金額</v>
      </c>
      <c r="G106" s="273" t="str">
        <f>VLOOKUP(G105,工作表2!$BH$5:$DN$9,17,FALSE)</f>
        <v>金額</v>
      </c>
      <c r="H106" s="273" t="str">
        <f>VLOOKUP(H105,工作表2!$BH$5:$DN$9,18,FALSE)</f>
        <v>金額</v>
      </c>
      <c r="I106" s="273" t="str">
        <f>VLOOKUP(I105,工作表2!$BH$5:$DN$9,19,FALSE)</f>
        <v>金額</v>
      </c>
      <c r="J106" s="273" t="str">
        <f>VLOOKUP(J105,工作表2!$BH$5:$DN$9,20,FALSE)</f>
        <v>金額</v>
      </c>
      <c r="K106" s="273" t="str">
        <f>VLOOKUP(K105,工作表2!$BH$5:$DN$9,21,FALSE)</f>
        <v>金額</v>
      </c>
      <c r="L106" s="273" t="str">
        <f>VLOOKUP(L105,工作表2!$BH$5:$DN$9,22,FALSE)</f>
        <v>金額</v>
      </c>
      <c r="M106" s="274" t="str">
        <f>VLOOKUP(M105,工作表2!$BH$5:$DN$9,23,FALSE)</f>
        <v>金額</v>
      </c>
      <c r="N106" s="273" t="str">
        <f>VLOOKUP(N105,工作表2!$A$15:Q$19,10,FALSE)</f>
        <v>金額</v>
      </c>
      <c r="O106" s="275" t="str">
        <f>VLOOKUP(O105,工作表2!$A$15:$Q$19,11,FALSE)</f>
        <v>金額</v>
      </c>
      <c r="P106" s="617"/>
      <c r="Q106" s="620"/>
      <c r="R106" s="619"/>
      <c r="S106" s="622"/>
      <c r="V106" s="362"/>
      <c r="W106" s="358"/>
      <c r="X106" s="544"/>
      <c r="Y106" s="356"/>
      <c r="Z106" s="358"/>
      <c r="AA106" s="544"/>
      <c r="AB106" s="356"/>
      <c r="AC106" s="358"/>
      <c r="AD106" s="544"/>
      <c r="AE106" s="356"/>
      <c r="AF106" s="358"/>
      <c r="AG106" s="356"/>
      <c r="AH106" s="2"/>
      <c r="AI106" s="2"/>
      <c r="AJ106" s="2"/>
      <c r="AK106" s="2"/>
      <c r="AL106" s="2"/>
      <c r="AM106" s="2"/>
    </row>
    <row r="107" spans="1:39">
      <c r="A107" s="647"/>
      <c r="B107" s="664" t="s">
        <v>58</v>
      </c>
      <c r="C107" s="272" t="s">
        <v>68</v>
      </c>
      <c r="D107" s="665"/>
      <c r="E107" s="666"/>
      <c r="F107" s="269" t="str">
        <f t="shared" ref="F107:O107" si="26">F19</f>
        <v>版本</v>
      </c>
      <c r="G107" s="269" t="str">
        <f t="shared" si="26"/>
        <v>版本</v>
      </c>
      <c r="H107" s="269" t="str">
        <f t="shared" si="26"/>
        <v>版本</v>
      </c>
      <c r="I107" s="269" t="str">
        <f t="shared" si="26"/>
        <v>版本</v>
      </c>
      <c r="J107" s="269" t="str">
        <f t="shared" si="26"/>
        <v>版本</v>
      </c>
      <c r="K107" s="269" t="str">
        <f t="shared" si="26"/>
        <v>版本</v>
      </c>
      <c r="L107" s="269" t="str">
        <f t="shared" si="26"/>
        <v>版本</v>
      </c>
      <c r="M107" s="269" t="str">
        <f t="shared" si="26"/>
        <v>版本</v>
      </c>
      <c r="N107" s="269" t="str">
        <f t="shared" si="26"/>
        <v>版本</v>
      </c>
      <c r="O107" s="271" t="str">
        <f t="shared" si="26"/>
        <v>版本</v>
      </c>
      <c r="P107" s="616">
        <f>SUM(F108:O108)</f>
        <v>0</v>
      </c>
      <c r="Q107" s="618">
        <f>P107*H9</f>
        <v>0</v>
      </c>
      <c r="R107" s="619"/>
      <c r="S107" s="621">
        <f>P107*H8</f>
        <v>0</v>
      </c>
      <c r="V107" s="362" t="s">
        <v>99</v>
      </c>
      <c r="W107" s="358">
        <f>SUMIF(F107:O107,"康軒",F108:O108)*H9</f>
        <v>0</v>
      </c>
      <c r="X107" s="544">
        <f>SUMIF(D128:F128,"康軒",D131:F131)</f>
        <v>0</v>
      </c>
      <c r="Y107" s="356">
        <f>SUMIF(F107:O107,"康軒",F108:O108)*H8</f>
        <v>0</v>
      </c>
      <c r="Z107" s="358">
        <f>SUMIF(F107:O107,"翰林",F108:O108)*H9</f>
        <v>0</v>
      </c>
      <c r="AA107" s="544">
        <f>SUMIF(D128:F128,"翰林",D131:F131)</f>
        <v>0</v>
      </c>
      <c r="AB107" s="356">
        <f>SUMIF(F107:O107,"翰林",F108:O108)*H8</f>
        <v>0</v>
      </c>
      <c r="AC107" s="358">
        <f>SUMIF(F107:O107,"南一",F108:O108)*H9</f>
        <v>0</v>
      </c>
      <c r="AD107" s="544">
        <f>SUMIF(D128:F128,"南一",D131:F131)</f>
        <v>0</v>
      </c>
      <c r="AE107" s="356">
        <f>SUMIF(F107:O107,"南一",F108:O108)*H8</f>
        <v>0</v>
      </c>
      <c r="AF107" s="358">
        <f>SUMIF(F107:O107,"何嘉仁",F108:O108)*H9</f>
        <v>0</v>
      </c>
      <c r="AG107" s="356">
        <f>SUMIF(F107:O107,"何嘉仁",F108:O108)*H8</f>
        <v>0</v>
      </c>
      <c r="AH107" s="2"/>
      <c r="AI107" s="2"/>
      <c r="AJ107" s="2"/>
      <c r="AK107" s="2"/>
      <c r="AL107" s="2"/>
      <c r="AM107" s="2"/>
    </row>
    <row r="108" spans="1:39">
      <c r="A108" s="647"/>
      <c r="B108" s="664"/>
      <c r="C108" s="272" t="s">
        <v>70</v>
      </c>
      <c r="D108" s="669"/>
      <c r="E108" s="670"/>
      <c r="F108" s="273" t="str">
        <f>VLOOKUP(F107,工作表2!$BH$5:$DN$9,27,FALSE)</f>
        <v>金額</v>
      </c>
      <c r="G108" s="273" t="str">
        <f>VLOOKUP(G107,工作表2!$BH$5:$DN$9,28,FALSE)</f>
        <v>金額</v>
      </c>
      <c r="H108" s="273" t="str">
        <f>VLOOKUP(H107,工作表2!$BH$5:$DN$9,29,FALSE)</f>
        <v>金額</v>
      </c>
      <c r="I108" s="273" t="str">
        <f>VLOOKUP(I107,工作表2!$BH$5:$DN$9,30,FALSE)</f>
        <v>金額</v>
      </c>
      <c r="J108" s="273" t="str">
        <f>VLOOKUP(J107,工作表2!$BH$5:$DN$9,31,FALSE)</f>
        <v>金額</v>
      </c>
      <c r="K108" s="273" t="str">
        <f>VLOOKUP(K107,工作表2!$BH$5:$DN$9,32,FALSE)</f>
        <v>金額</v>
      </c>
      <c r="L108" s="273" t="str">
        <f>VLOOKUP(L107,工作表2!$BH$5:$DN$9,33,FALSE)</f>
        <v>金額</v>
      </c>
      <c r="M108" s="274" t="str">
        <f>VLOOKUP(M107,工作表2!$BH$5:$DN$9,34,FALSE)</f>
        <v>金額</v>
      </c>
      <c r="N108" s="273" t="str">
        <f>VLOOKUP(N107,工作表2!$A$15:$Q$19,12,FALSE)</f>
        <v>金額</v>
      </c>
      <c r="O108" s="275" t="str">
        <f>VLOOKUP(O107,工作表2!$A$15:$Q$19,13,FALSE)</f>
        <v>金額</v>
      </c>
      <c r="P108" s="617"/>
      <c r="Q108" s="620"/>
      <c r="R108" s="619"/>
      <c r="S108" s="622"/>
      <c r="V108" s="362"/>
      <c r="W108" s="358"/>
      <c r="X108" s="544"/>
      <c r="Y108" s="356"/>
      <c r="Z108" s="358"/>
      <c r="AA108" s="544"/>
      <c r="AB108" s="356"/>
      <c r="AC108" s="358"/>
      <c r="AD108" s="544"/>
      <c r="AE108" s="356"/>
      <c r="AF108" s="358"/>
      <c r="AG108" s="356"/>
      <c r="AH108" s="2"/>
      <c r="AI108" s="2"/>
      <c r="AJ108" s="2"/>
      <c r="AK108" s="2"/>
      <c r="AL108" s="2"/>
      <c r="AM108" s="2"/>
    </row>
    <row r="109" spans="1:39">
      <c r="A109" s="647"/>
      <c r="B109" s="664" t="s">
        <v>59</v>
      </c>
      <c r="C109" s="272" t="s">
        <v>68</v>
      </c>
      <c r="D109" s="665"/>
      <c r="E109" s="666"/>
      <c r="F109" s="269" t="str">
        <f t="shared" ref="F109:O109" si="27">F21</f>
        <v>版本</v>
      </c>
      <c r="G109" s="269" t="str">
        <f t="shared" si="27"/>
        <v>版本</v>
      </c>
      <c r="H109" s="269" t="str">
        <f t="shared" si="27"/>
        <v>版本</v>
      </c>
      <c r="I109" s="269" t="str">
        <f t="shared" si="27"/>
        <v>版本</v>
      </c>
      <c r="J109" s="269" t="str">
        <f t="shared" si="27"/>
        <v>版本</v>
      </c>
      <c r="K109" s="269" t="str">
        <f t="shared" si="27"/>
        <v>版本</v>
      </c>
      <c r="L109" s="269" t="str">
        <f t="shared" si="27"/>
        <v>版本</v>
      </c>
      <c r="M109" s="269" t="str">
        <f t="shared" si="27"/>
        <v>版本</v>
      </c>
      <c r="N109" s="269" t="str">
        <f t="shared" si="27"/>
        <v>版本</v>
      </c>
      <c r="O109" s="271" t="str">
        <f t="shared" si="27"/>
        <v>版本</v>
      </c>
      <c r="P109" s="616">
        <f>SUM(F110:O110)</f>
        <v>0</v>
      </c>
      <c r="Q109" s="618">
        <f>P109*I9</f>
        <v>0</v>
      </c>
      <c r="R109" s="619"/>
      <c r="S109" s="621">
        <f>P109*I8</f>
        <v>0</v>
      </c>
      <c r="V109" s="362" t="s">
        <v>98</v>
      </c>
      <c r="W109" s="358">
        <f>SUMIF(F109:O109,"康軒",F110:O110)*I9</f>
        <v>0</v>
      </c>
      <c r="X109" s="544">
        <f>SUMIF(D132:F132,"康軒",D135:F135)</f>
        <v>0</v>
      </c>
      <c r="Y109" s="356">
        <f>SUMIF(F109:O109,"康軒",F110:O110)*I8</f>
        <v>0</v>
      </c>
      <c r="Z109" s="358">
        <f>SUMIF(F109:O109,"翰林",F110:O110)*I9</f>
        <v>0</v>
      </c>
      <c r="AA109" s="544">
        <f>SUMIF(D132:F132,"翰林",D135:F135)</f>
        <v>0</v>
      </c>
      <c r="AB109" s="356">
        <f>SUMIF(F109:O109,"翰林",F110:O110)*I8</f>
        <v>0</v>
      </c>
      <c r="AC109" s="358">
        <f>SUMIF(F109:O109,"南一",F110:O110)*I9</f>
        <v>0</v>
      </c>
      <c r="AD109" s="544">
        <f>SUMIF(D132:F132,"南一",D135:F135)</f>
        <v>0</v>
      </c>
      <c r="AE109" s="356">
        <f>SUMIF(F109:O109,"南一",F110:O110)*I8</f>
        <v>0</v>
      </c>
      <c r="AF109" s="358">
        <f>SUMIF(F109:O109,"何嘉仁",F110:O110)*I9</f>
        <v>0</v>
      </c>
      <c r="AG109" s="356">
        <f>SUMIF(F109:O109,"何嘉仁",F110:O110)*I8</f>
        <v>0</v>
      </c>
      <c r="AH109" s="2"/>
      <c r="AI109" s="2"/>
      <c r="AJ109" s="2"/>
      <c r="AK109" s="2"/>
      <c r="AL109" s="2"/>
      <c r="AM109" s="2"/>
    </row>
    <row r="110" spans="1:39">
      <c r="A110" s="647"/>
      <c r="B110" s="664"/>
      <c r="C110" s="272" t="s">
        <v>70</v>
      </c>
      <c r="D110" s="669"/>
      <c r="E110" s="670"/>
      <c r="F110" s="273" t="str">
        <f>VLOOKUP(F109,工作表2!$BH$5:$DN$9,38,FALSE)</f>
        <v>金額</v>
      </c>
      <c r="G110" s="273" t="str">
        <f>VLOOKUP(G109,工作表2!$BH$5:$DN$9,39,FALSE)</f>
        <v>金額</v>
      </c>
      <c r="H110" s="273" t="str">
        <f>VLOOKUP(H109,工作表2!$BH$5:$DN$9,40,FALSE)</f>
        <v>金額</v>
      </c>
      <c r="I110" s="273" t="str">
        <f>VLOOKUP(I109,工作表2!$BH$5:$DN$9,41,FALSE)</f>
        <v>金額</v>
      </c>
      <c r="J110" s="273" t="str">
        <f>VLOOKUP(J109,工作表2!$BH$5:$DN$9,42,FALSE)</f>
        <v>金額</v>
      </c>
      <c r="K110" s="273" t="str">
        <f>VLOOKUP(K109,工作表2!$BH$5:$DN$9,43,FALSE)</f>
        <v>金額</v>
      </c>
      <c r="L110" s="273" t="str">
        <f>VLOOKUP(L109,工作表2!$BH$5:$DN$9,44,FALSE)</f>
        <v>金額</v>
      </c>
      <c r="M110" s="274" t="str">
        <f>VLOOKUP(M109,工作表2!$BH$5:$DN$9,45,FALSE)</f>
        <v>金額</v>
      </c>
      <c r="N110" s="273" t="str">
        <f>VLOOKUP(N109,工作表2!$A$15:$Q$19,14,FALSE)</f>
        <v>金額</v>
      </c>
      <c r="O110" s="275" t="str">
        <f>VLOOKUP(O109,工作表2!$A$15:$Q$19,15,FALSE)</f>
        <v>金額</v>
      </c>
      <c r="P110" s="617"/>
      <c r="Q110" s="620"/>
      <c r="R110" s="619"/>
      <c r="S110" s="622"/>
      <c r="V110" s="362"/>
      <c r="W110" s="358"/>
      <c r="X110" s="544"/>
      <c r="Y110" s="356"/>
      <c r="Z110" s="358"/>
      <c r="AA110" s="544"/>
      <c r="AB110" s="356"/>
      <c r="AC110" s="358"/>
      <c r="AD110" s="544"/>
      <c r="AE110" s="356"/>
      <c r="AF110" s="358"/>
      <c r="AG110" s="356"/>
    </row>
    <row r="111" spans="1:39">
      <c r="A111" s="647"/>
      <c r="B111" s="664" t="s">
        <v>60</v>
      </c>
      <c r="C111" s="272" t="s">
        <v>68</v>
      </c>
      <c r="D111" s="665"/>
      <c r="E111" s="666"/>
      <c r="F111" s="269" t="str">
        <f t="shared" ref="F111:O111" si="28">F23</f>
        <v>版本</v>
      </c>
      <c r="G111" s="269" t="str">
        <f t="shared" si="28"/>
        <v>版本</v>
      </c>
      <c r="H111" s="269" t="str">
        <f t="shared" si="28"/>
        <v>版本</v>
      </c>
      <c r="I111" s="269" t="str">
        <f t="shared" si="28"/>
        <v>版本</v>
      </c>
      <c r="J111" s="269" t="str">
        <f t="shared" si="28"/>
        <v>版本</v>
      </c>
      <c r="K111" s="269" t="str">
        <f t="shared" si="28"/>
        <v>版本</v>
      </c>
      <c r="L111" s="269" t="str">
        <f t="shared" si="28"/>
        <v>版本</v>
      </c>
      <c r="M111" s="269" t="str">
        <f t="shared" si="28"/>
        <v>版本</v>
      </c>
      <c r="N111" s="269" t="str">
        <f>N23</f>
        <v>版本</v>
      </c>
      <c r="O111" s="271" t="str">
        <f t="shared" si="28"/>
        <v>版本</v>
      </c>
      <c r="P111" s="616">
        <f>SUM(F112:O112)</f>
        <v>0</v>
      </c>
      <c r="Q111" s="618">
        <f>P111*J9</f>
        <v>0</v>
      </c>
      <c r="R111" s="619"/>
      <c r="S111" s="621">
        <f>P111*J8</f>
        <v>0</v>
      </c>
      <c r="V111" s="362" t="s">
        <v>97</v>
      </c>
      <c r="W111" s="358">
        <f>SUMIF(F111:O111,"康軒",F112:O112)*J9+AI111+AI112</f>
        <v>0</v>
      </c>
      <c r="X111" s="544">
        <f>SUMIF(D136:F136,"康軒",D139:F139)</f>
        <v>0</v>
      </c>
      <c r="Y111" s="356">
        <f>SUMIF(F111:O111,"康軒",F112:O112)*J8+AJ111+AJ112</f>
        <v>0</v>
      </c>
      <c r="Z111" s="358">
        <f>SUMIF(F111:O111,"翰林",F112:O112)*J9</f>
        <v>0</v>
      </c>
      <c r="AA111" s="544">
        <f>SUMIF(D136:F136,"翰林",D139:F139)</f>
        <v>0</v>
      </c>
      <c r="AB111" s="356">
        <f>SUMIF(F111:O111,"翰林",F112:O112)*J8</f>
        <v>0</v>
      </c>
      <c r="AC111" s="358">
        <f>SUMIF(F111:O111,"南一",F112:O112)*J9</f>
        <v>0</v>
      </c>
      <c r="AD111" s="544">
        <f>SUMIF(D136:F136,"南一",D139:F139)</f>
        <v>0</v>
      </c>
      <c r="AE111" s="356">
        <f>SUMIF(F111:O111,"南一",F112:O112)*J8</f>
        <v>0</v>
      </c>
      <c r="AF111" s="358">
        <f>SUMIF(F111:O111,"何嘉仁",F112:O112)*J9</f>
        <v>0</v>
      </c>
      <c r="AG111" s="356">
        <f>SUMIF(F111:O111,"何嘉仁",F112:O112)*J8</f>
        <v>0</v>
      </c>
    </row>
    <row r="112" spans="1:39" ht="17.25" thickBot="1">
      <c r="A112" s="648"/>
      <c r="B112" s="701"/>
      <c r="C112" s="276" t="s">
        <v>70</v>
      </c>
      <c r="D112" s="702"/>
      <c r="E112" s="703"/>
      <c r="F112" s="277" t="str">
        <f>VLOOKUP(F111,工作表2!$BH$5:$DN$9,49,FALSE)</f>
        <v>金額</v>
      </c>
      <c r="G112" s="277" t="str">
        <f>VLOOKUP(G111,工作表2!$BH$5:$DN$9,50,FALSE)</f>
        <v>金額</v>
      </c>
      <c r="H112" s="277" t="str">
        <f>VLOOKUP(H111,工作表2!$BH$5:$DN$9,51,FALSE)</f>
        <v>金額</v>
      </c>
      <c r="I112" s="277" t="str">
        <f>VLOOKUP(I111,工作表2!$BH$5:$DN$9,52,FALSE)</f>
        <v>金額</v>
      </c>
      <c r="J112" s="277" t="str">
        <f>VLOOKUP(J111,工作表2!$BH$5:$DN$9,53,FALSE)</f>
        <v>金額</v>
      </c>
      <c r="K112" s="277" t="str">
        <f>VLOOKUP(K111,工作表2!$BH$5:$DN$9,54,FALSE)</f>
        <v>金額</v>
      </c>
      <c r="L112" s="277" t="str">
        <f>VLOOKUP(L111,工作表2!$BH$5:$DN$9,55,FALSE)</f>
        <v>金額</v>
      </c>
      <c r="M112" s="278" t="str">
        <f>VLOOKUP(M111,工作表2!$BH$5:$DN$9,56,FALSE)</f>
        <v>金額</v>
      </c>
      <c r="N112" s="277" t="str">
        <f>VLOOKUP(N111,工作表2!$A$15:$Q$19,16,FALSE)</f>
        <v>金額</v>
      </c>
      <c r="O112" s="279" t="str">
        <f>VLOOKUP(O111,工作表2!$A$15:$Q$19,17,FALSE)</f>
        <v>金額</v>
      </c>
      <c r="P112" s="617"/>
      <c r="Q112" s="620"/>
      <c r="R112" s="619"/>
      <c r="S112" s="622"/>
      <c r="V112" s="362"/>
      <c r="W112" s="358"/>
      <c r="X112" s="544"/>
      <c r="Y112" s="356"/>
      <c r="Z112" s="358"/>
      <c r="AA112" s="544"/>
      <c r="AB112" s="356"/>
      <c r="AC112" s="358"/>
      <c r="AD112" s="544"/>
      <c r="AE112" s="356"/>
      <c r="AF112" s="358"/>
      <c r="AG112" s="356"/>
    </row>
    <row r="113" spans="1:33" ht="33" customHeight="1" thickBot="1">
      <c r="A113" s="280"/>
      <c r="B113" s="281"/>
      <c r="C113" s="281"/>
      <c r="D113" s="281"/>
      <c r="E113" s="281"/>
      <c r="F113" s="282"/>
      <c r="G113" s="282"/>
      <c r="H113" s="282"/>
      <c r="I113" s="282"/>
      <c r="J113" s="282"/>
      <c r="K113" s="282"/>
      <c r="L113" s="282"/>
      <c r="M113" s="282"/>
      <c r="N113" s="282"/>
      <c r="O113" s="282"/>
      <c r="P113" s="283" t="s">
        <v>41</v>
      </c>
      <c r="Q113" s="717">
        <f>SUM(Q101:R112)</f>
        <v>0</v>
      </c>
      <c r="R113" s="718"/>
      <c r="S113" s="304">
        <f>SUM(S101:S112)</f>
        <v>0</v>
      </c>
      <c r="V113" s="144" t="s">
        <v>9</v>
      </c>
      <c r="W113" s="147">
        <f t="shared" ref="W113:AG113" si="29">SUM(W101:W112)</f>
        <v>0</v>
      </c>
      <c r="X113" s="239">
        <f>SUM(X101:X112)</f>
        <v>0</v>
      </c>
      <c r="Y113" s="161">
        <f t="shared" si="29"/>
        <v>0</v>
      </c>
      <c r="Z113" s="147">
        <f t="shared" si="29"/>
        <v>0</v>
      </c>
      <c r="AA113" s="239">
        <f t="shared" si="29"/>
        <v>0</v>
      </c>
      <c r="AB113" s="161">
        <f t="shared" si="29"/>
        <v>0</v>
      </c>
      <c r="AC113" s="147">
        <f t="shared" si="29"/>
        <v>0</v>
      </c>
      <c r="AD113" s="239">
        <f t="shared" si="29"/>
        <v>0</v>
      </c>
      <c r="AE113" s="161">
        <f t="shared" si="29"/>
        <v>0</v>
      </c>
      <c r="AF113" s="147">
        <f t="shared" si="29"/>
        <v>0</v>
      </c>
      <c r="AG113" s="161">
        <f t="shared" si="29"/>
        <v>0</v>
      </c>
    </row>
    <row r="114" spans="1:33" ht="24" customHeight="1">
      <c r="A114" s="698" t="s">
        <v>199</v>
      </c>
      <c r="B114" s="707" t="s">
        <v>231</v>
      </c>
      <c r="C114" s="708"/>
      <c r="D114" s="653" t="s">
        <v>215</v>
      </c>
      <c r="E114" s="653" t="s">
        <v>216</v>
      </c>
      <c r="F114" s="712" t="s">
        <v>217</v>
      </c>
      <c r="G114" s="714" t="s">
        <v>200</v>
      </c>
      <c r="H114" s="656"/>
      <c r="I114" s="282"/>
      <c r="J114" s="284"/>
      <c r="K114" s="285"/>
      <c r="L114" s="285"/>
      <c r="M114" s="286"/>
      <c r="N114" s="287"/>
      <c r="O114" s="287"/>
      <c r="P114" s="287"/>
      <c r="Q114" s="287"/>
      <c r="R114" s="287"/>
      <c r="S114" s="287"/>
      <c r="V114" s="237" t="s">
        <v>139</v>
      </c>
      <c r="W114" s="545">
        <f>SUM(W113:Y113)</f>
        <v>0</v>
      </c>
      <c r="X114" s="531"/>
      <c r="Y114" s="531"/>
      <c r="Z114" s="361">
        <f>SUM(Z113:AB113)</f>
        <v>0</v>
      </c>
      <c r="AA114" s="361"/>
      <c r="AB114" s="361"/>
      <c r="AC114" s="361">
        <f>SUM(AC113:AE113)</f>
        <v>0</v>
      </c>
      <c r="AD114" s="361"/>
      <c r="AE114" s="361"/>
      <c r="AF114" s="361">
        <f>SUM(AF113:AG113)</f>
        <v>0</v>
      </c>
      <c r="AG114" s="361"/>
    </row>
    <row r="115" spans="1:33">
      <c r="A115" s="699"/>
      <c r="B115" s="709"/>
      <c r="C115" s="710"/>
      <c r="D115" s="711"/>
      <c r="E115" s="711"/>
      <c r="F115" s="713"/>
      <c r="G115" s="715"/>
      <c r="H115" s="716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</row>
    <row r="116" spans="1:33" ht="16.899999999999999" customHeight="1">
      <c r="A116" s="699"/>
      <c r="B116" s="664" t="s">
        <v>55</v>
      </c>
      <c r="C116" s="297" t="s">
        <v>68</v>
      </c>
      <c r="D116" s="269" t="str">
        <f>D28</f>
        <v>版本</v>
      </c>
      <c r="E116" s="705"/>
      <c r="F116" s="705"/>
      <c r="G116" s="684" t="e">
        <f>D119</f>
        <v>#VALUE!</v>
      </c>
      <c r="H116" s="685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</row>
    <row r="117" spans="1:33" ht="16.899999999999999" customHeight="1">
      <c r="A117" s="699"/>
      <c r="B117" s="664"/>
      <c r="C117" s="297" t="s">
        <v>70</v>
      </c>
      <c r="D117" s="288" t="str">
        <f>VLOOKUP(D116,工作表2!$BH$5:$DN$9,8,FALSE)</f>
        <v>金額</v>
      </c>
      <c r="E117" s="706"/>
      <c r="F117" s="706"/>
      <c r="G117" s="686"/>
      <c r="H117" s="6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</row>
    <row r="118" spans="1:33" ht="16.899999999999999" customHeight="1">
      <c r="A118" s="699"/>
      <c r="B118" s="664"/>
      <c r="C118" s="297" t="s">
        <v>234</v>
      </c>
      <c r="D118" s="301">
        <f>D30</f>
        <v>0</v>
      </c>
      <c r="E118" s="706"/>
      <c r="F118" s="706"/>
      <c r="G118" s="686"/>
      <c r="H118" s="687"/>
      <c r="I118" s="287"/>
      <c r="J118" s="287"/>
      <c r="K118" s="287"/>
      <c r="L118" s="287"/>
      <c r="M118" s="287"/>
      <c r="N118" s="287"/>
      <c r="O118" s="287"/>
      <c r="P118" s="289"/>
      <c r="Q118" s="289"/>
      <c r="R118" s="289"/>
      <c r="S118" s="289"/>
      <c r="T118"/>
    </row>
    <row r="119" spans="1:33" ht="17.649999999999999" customHeight="1">
      <c r="A119" s="699"/>
      <c r="B119" s="664"/>
      <c r="C119" s="297" t="s">
        <v>235</v>
      </c>
      <c r="D119" s="290" t="e">
        <f>D117*D118</f>
        <v>#VALUE!</v>
      </c>
      <c r="E119" s="706"/>
      <c r="F119" s="706"/>
      <c r="G119" s="688"/>
      <c r="H119" s="689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</row>
    <row r="120" spans="1:33" ht="16.899999999999999" customHeight="1">
      <c r="A120" s="699"/>
      <c r="B120" s="664" t="s">
        <v>56</v>
      </c>
      <c r="C120" s="297" t="s">
        <v>68</v>
      </c>
      <c r="D120" s="269" t="str">
        <f>D32</f>
        <v>版本</v>
      </c>
      <c r="E120" s="705"/>
      <c r="F120" s="705"/>
      <c r="G120" s="684" t="e">
        <f>D123</f>
        <v>#VALUE!</v>
      </c>
      <c r="H120" s="685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</row>
    <row r="121" spans="1:33" ht="16.899999999999999" customHeight="1">
      <c r="A121" s="699"/>
      <c r="B121" s="664"/>
      <c r="C121" s="297" t="s">
        <v>70</v>
      </c>
      <c r="D121" s="273" t="str">
        <f>VLOOKUP(D120,工作表2!$BH$5:$DN$9,15,FALSE)</f>
        <v>金額</v>
      </c>
      <c r="E121" s="706"/>
      <c r="F121" s="706"/>
      <c r="G121" s="686"/>
      <c r="H121" s="6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</row>
    <row r="122" spans="1:33" ht="16.899999999999999" customHeight="1">
      <c r="A122" s="699"/>
      <c r="B122" s="664"/>
      <c r="C122" s="297" t="s">
        <v>234</v>
      </c>
      <c r="D122" s="290">
        <f>D34</f>
        <v>0</v>
      </c>
      <c r="E122" s="706"/>
      <c r="F122" s="706"/>
      <c r="G122" s="686"/>
      <c r="H122" s="6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</row>
    <row r="123" spans="1:33" ht="16.899999999999999" customHeight="1">
      <c r="A123" s="699"/>
      <c r="B123" s="664"/>
      <c r="C123" s="297" t="s">
        <v>235</v>
      </c>
      <c r="D123" s="290" t="e">
        <f>D121*D122</f>
        <v>#VALUE!</v>
      </c>
      <c r="E123" s="706"/>
      <c r="F123" s="706"/>
      <c r="G123" s="688"/>
      <c r="H123" s="689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</row>
    <row r="124" spans="1:33" ht="16.899999999999999" customHeight="1">
      <c r="A124" s="699"/>
      <c r="B124" s="664" t="s">
        <v>57</v>
      </c>
      <c r="C124" s="297" t="s">
        <v>68</v>
      </c>
      <c r="D124" s="269" t="str">
        <f>D36</f>
        <v>版本</v>
      </c>
      <c r="E124" s="269" t="str">
        <f>E36</f>
        <v>版本</v>
      </c>
      <c r="F124" s="269" t="str">
        <f>F36</f>
        <v>版本</v>
      </c>
      <c r="G124" s="684" t="e">
        <f>SUM(D127:F127)</f>
        <v>#VALUE!</v>
      </c>
      <c r="H124" s="685"/>
      <c r="I124" s="287"/>
      <c r="J124" s="287"/>
      <c r="K124" s="291"/>
      <c r="L124" s="292"/>
      <c r="M124" s="292"/>
      <c r="N124" s="293"/>
      <c r="O124" s="294"/>
      <c r="P124" s="295"/>
      <c r="Q124" s="287"/>
      <c r="R124" s="287"/>
      <c r="S124" s="287"/>
    </row>
    <row r="125" spans="1:33" ht="16.899999999999999" customHeight="1">
      <c r="A125" s="699"/>
      <c r="B125" s="664"/>
      <c r="C125" s="297" t="s">
        <v>70</v>
      </c>
      <c r="D125" s="273" t="str">
        <f>VLOOKUP(D124,工作表2!$BH$5:$DN$9,24,FALSE)</f>
        <v>金額</v>
      </c>
      <c r="E125" s="273" t="str">
        <f>VLOOKUP(E124,工作表2!$BH$5:$DN$9,25,FALSE)</f>
        <v>金額</v>
      </c>
      <c r="F125" s="273" t="str">
        <f>VLOOKUP(F124,工作表2!$BH$5:$DN$9,26,FALSE)</f>
        <v>金額</v>
      </c>
      <c r="G125" s="686"/>
      <c r="H125" s="687"/>
      <c r="I125" s="287"/>
      <c r="J125" s="287"/>
      <c r="K125" s="694" t="s">
        <v>249</v>
      </c>
      <c r="L125" s="695"/>
      <c r="M125" s="695"/>
      <c r="N125" s="696">
        <f>Q113</f>
        <v>0</v>
      </c>
      <c r="O125" s="697"/>
      <c r="P125" s="620"/>
      <c r="Q125" s="287"/>
      <c r="R125" s="287"/>
      <c r="S125" s="287"/>
    </row>
    <row r="126" spans="1:33" ht="16.899999999999999" customHeight="1">
      <c r="A126" s="699"/>
      <c r="B126" s="664"/>
      <c r="C126" s="297" t="s">
        <v>234</v>
      </c>
      <c r="D126" s="290">
        <f>D38</f>
        <v>0</v>
      </c>
      <c r="E126" s="290">
        <f>E38</f>
        <v>0</v>
      </c>
      <c r="F126" s="290">
        <f>F38</f>
        <v>0</v>
      </c>
      <c r="G126" s="686"/>
      <c r="H126" s="687"/>
      <c r="I126" s="287"/>
      <c r="J126" s="287"/>
      <c r="K126" s="695"/>
      <c r="L126" s="695"/>
      <c r="M126" s="695"/>
      <c r="N126" s="697"/>
      <c r="O126" s="697"/>
      <c r="P126" s="620"/>
      <c r="Q126" s="287"/>
      <c r="R126" s="287"/>
      <c r="S126" s="287"/>
    </row>
    <row r="127" spans="1:33" ht="16.899999999999999" customHeight="1">
      <c r="A127" s="699"/>
      <c r="B127" s="664"/>
      <c r="C127" s="297" t="s">
        <v>235</v>
      </c>
      <c r="D127" s="290" t="e">
        <f>D125*D126</f>
        <v>#VALUE!</v>
      </c>
      <c r="E127" s="290" t="e">
        <f>E125*E126</f>
        <v>#VALUE!</v>
      </c>
      <c r="F127" s="290" t="e">
        <f>F125*F126</f>
        <v>#VALUE!</v>
      </c>
      <c r="G127" s="688"/>
      <c r="H127" s="689"/>
      <c r="I127" s="287"/>
      <c r="J127" s="287"/>
      <c r="K127" s="694" t="s">
        <v>250</v>
      </c>
      <c r="L127" s="695"/>
      <c r="M127" s="695"/>
      <c r="N127" s="696" t="e">
        <f>SUM(G116:H139)</f>
        <v>#VALUE!</v>
      </c>
      <c r="O127" s="697"/>
      <c r="P127" s="620"/>
      <c r="Q127" s="287"/>
      <c r="R127" s="287"/>
      <c r="S127" s="287"/>
    </row>
    <row r="128" spans="1:33" ht="16.899999999999999" customHeight="1">
      <c r="A128" s="699"/>
      <c r="B128" s="664" t="s">
        <v>58</v>
      </c>
      <c r="C128" s="297" t="s">
        <v>68</v>
      </c>
      <c r="D128" s="269" t="str">
        <f>D40</f>
        <v>版本</v>
      </c>
      <c r="E128" s="269" t="str">
        <f>E40</f>
        <v>版本</v>
      </c>
      <c r="F128" s="269" t="str">
        <f>F40</f>
        <v>版本</v>
      </c>
      <c r="G128" s="684" t="e">
        <f>SUM(D131:F131)</f>
        <v>#VALUE!</v>
      </c>
      <c r="H128" s="685"/>
      <c r="I128" s="287"/>
      <c r="J128" s="287"/>
      <c r="K128" s="695"/>
      <c r="L128" s="695"/>
      <c r="M128" s="695"/>
      <c r="N128" s="697"/>
      <c r="O128" s="697"/>
      <c r="P128" s="620"/>
      <c r="Q128" s="287"/>
      <c r="R128" s="287"/>
      <c r="S128" s="287"/>
    </row>
    <row r="129" spans="1:19" ht="16.899999999999999" customHeight="1">
      <c r="A129" s="699"/>
      <c r="B129" s="664"/>
      <c r="C129" s="297" t="s">
        <v>70</v>
      </c>
      <c r="D129" s="273" t="str">
        <f>VLOOKUP(D128,工作表2!$BH$5:$DN$9,35,FALSE)</f>
        <v>金額</v>
      </c>
      <c r="E129" s="273" t="str">
        <f>VLOOKUP(E128,工作表2!$BH$5:$DN$9,36,FALSE)</f>
        <v>金額</v>
      </c>
      <c r="F129" s="273" t="str">
        <f>VLOOKUP(F128,工作表2!$BH$5:$DN$9,37,FALSE)</f>
        <v>金額</v>
      </c>
      <c r="G129" s="686"/>
      <c r="H129" s="687"/>
      <c r="I129" s="287"/>
      <c r="J129" s="287"/>
      <c r="K129" s="694" t="s">
        <v>251</v>
      </c>
      <c r="L129" s="695"/>
      <c r="M129" s="695"/>
      <c r="N129" s="671">
        <f>S113</f>
        <v>0</v>
      </c>
      <c r="O129" s="672"/>
      <c r="P129" s="620"/>
      <c r="Q129" s="287"/>
      <c r="R129" s="287"/>
      <c r="S129" s="287"/>
    </row>
    <row r="130" spans="1:19" ht="16.899999999999999" customHeight="1" thickBot="1">
      <c r="A130" s="699"/>
      <c r="B130" s="664"/>
      <c r="C130" s="297" t="s">
        <v>234</v>
      </c>
      <c r="D130" s="290">
        <f>D42</f>
        <v>0</v>
      </c>
      <c r="E130" s="290">
        <f>E42</f>
        <v>0</v>
      </c>
      <c r="F130" s="290">
        <f>F42</f>
        <v>0</v>
      </c>
      <c r="G130" s="686"/>
      <c r="H130" s="687"/>
      <c r="I130" s="287"/>
      <c r="J130" s="287"/>
      <c r="K130" s="704"/>
      <c r="L130" s="704"/>
      <c r="M130" s="704"/>
      <c r="N130" s="673"/>
      <c r="O130" s="673"/>
      <c r="P130" s="674"/>
      <c r="Q130" s="287"/>
      <c r="R130" s="287"/>
      <c r="S130" s="287"/>
    </row>
    <row r="131" spans="1:19" ht="16.899999999999999" customHeight="1">
      <c r="A131" s="699"/>
      <c r="B131" s="664"/>
      <c r="C131" s="297" t="s">
        <v>235</v>
      </c>
      <c r="D131" s="290" t="e">
        <f>D129*D130</f>
        <v>#VALUE!</v>
      </c>
      <c r="E131" s="290" t="e">
        <f t="shared" ref="E131:F131" si="30">E129*E130</f>
        <v>#VALUE!</v>
      </c>
      <c r="F131" s="290" t="e">
        <f t="shared" si="30"/>
        <v>#VALUE!</v>
      </c>
      <c r="G131" s="688"/>
      <c r="H131" s="689"/>
      <c r="I131" s="287"/>
      <c r="J131" s="287"/>
      <c r="K131" s="675" t="s">
        <v>252</v>
      </c>
      <c r="L131" s="676"/>
      <c r="M131" s="676"/>
      <c r="N131" s="679" t="e">
        <f>SUM(N125:P130)</f>
        <v>#VALUE!</v>
      </c>
      <c r="O131" s="680"/>
      <c r="P131" s="681"/>
      <c r="Q131" s="287"/>
      <c r="R131" s="287"/>
      <c r="S131" s="287"/>
    </row>
    <row r="132" spans="1:19" ht="16.899999999999999" customHeight="1" thickBot="1">
      <c r="A132" s="699"/>
      <c r="B132" s="664" t="s">
        <v>59</v>
      </c>
      <c r="C132" s="297" t="s">
        <v>68</v>
      </c>
      <c r="D132" s="269" t="str">
        <f>D44</f>
        <v>版本</v>
      </c>
      <c r="E132" s="269" t="str">
        <f>E44</f>
        <v>版本</v>
      </c>
      <c r="F132" s="269" t="str">
        <f>F44</f>
        <v>版本</v>
      </c>
      <c r="G132" s="684" t="e">
        <f>SUM(D135:F135)</f>
        <v>#VALUE!</v>
      </c>
      <c r="H132" s="685"/>
      <c r="I132" s="287"/>
      <c r="J132" s="287"/>
      <c r="K132" s="677"/>
      <c r="L132" s="678"/>
      <c r="M132" s="678"/>
      <c r="N132" s="682"/>
      <c r="O132" s="682"/>
      <c r="P132" s="683"/>
      <c r="Q132" s="287"/>
      <c r="R132" s="287"/>
      <c r="S132" s="287"/>
    </row>
    <row r="133" spans="1:19" ht="16.899999999999999" customHeight="1">
      <c r="A133" s="699"/>
      <c r="B133" s="664"/>
      <c r="C133" s="297" t="s">
        <v>70</v>
      </c>
      <c r="D133" s="273" t="str">
        <f>VLOOKUP(D132,工作表2!$BH$5:$DN$9,46,FALSE)</f>
        <v>金額</v>
      </c>
      <c r="E133" s="273" t="str">
        <f>VLOOKUP(E132,工作表2!$BH$5:$DN$9,47,FALSE)</f>
        <v>金額</v>
      </c>
      <c r="F133" s="273" t="str">
        <f>VLOOKUP(F132,工作表2!$BH$5:$DN$9,48,FALSE)</f>
        <v>金額</v>
      </c>
      <c r="G133" s="686"/>
      <c r="H133" s="6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</row>
    <row r="134" spans="1:19" ht="16.899999999999999" customHeight="1">
      <c r="A134" s="699"/>
      <c r="B134" s="664"/>
      <c r="C134" s="297" t="s">
        <v>234</v>
      </c>
      <c r="D134" s="290">
        <f>D46</f>
        <v>0</v>
      </c>
      <c r="E134" s="290">
        <f>E46</f>
        <v>0</v>
      </c>
      <c r="F134" s="290">
        <f>F46</f>
        <v>0</v>
      </c>
      <c r="G134" s="686"/>
      <c r="H134" s="6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</row>
    <row r="135" spans="1:19" ht="16.899999999999999" customHeight="1">
      <c r="A135" s="699"/>
      <c r="B135" s="664"/>
      <c r="C135" s="297" t="s">
        <v>235</v>
      </c>
      <c r="D135" s="290" t="e">
        <f>D133*D134</f>
        <v>#VALUE!</v>
      </c>
      <c r="E135" s="290" t="e">
        <f t="shared" ref="E135:F135" si="31">E133*E134</f>
        <v>#VALUE!</v>
      </c>
      <c r="F135" s="290" t="e">
        <f t="shared" si="31"/>
        <v>#VALUE!</v>
      </c>
      <c r="G135" s="688"/>
      <c r="H135" s="689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</row>
    <row r="136" spans="1:19" ht="16.350000000000001" customHeight="1">
      <c r="A136" s="699"/>
      <c r="B136" s="664" t="s">
        <v>60</v>
      </c>
      <c r="C136" s="297" t="s">
        <v>68</v>
      </c>
      <c r="D136" s="269" t="str">
        <f>D48</f>
        <v>版本</v>
      </c>
      <c r="E136" s="269" t="str">
        <f>E48</f>
        <v>版本</v>
      </c>
      <c r="F136" s="269" t="str">
        <f>F48</f>
        <v>版本</v>
      </c>
      <c r="G136" s="684" t="e">
        <f>SUM(D139:F139)</f>
        <v>#VALUE!</v>
      </c>
      <c r="H136" s="685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</row>
    <row r="137" spans="1:19" ht="16.350000000000001" customHeight="1">
      <c r="A137" s="699"/>
      <c r="B137" s="664"/>
      <c r="C137" s="297" t="s">
        <v>70</v>
      </c>
      <c r="D137" s="273" t="str">
        <f>VLOOKUP(D136,工作表2!$BH$5:$DN$9,57,FALSE)</f>
        <v>金額</v>
      </c>
      <c r="E137" s="273" t="str">
        <f>VLOOKUP(E136,工作表2!$BH$5:$DN$9,58,FALSE)</f>
        <v>金額</v>
      </c>
      <c r="F137" s="273" t="str">
        <f>VLOOKUP(F136,工作表2!$BH$5:$DN$9,59,FALSE)</f>
        <v>金額</v>
      </c>
      <c r="G137" s="686"/>
      <c r="H137" s="6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</row>
    <row r="138" spans="1:19" ht="16.350000000000001" customHeight="1">
      <c r="A138" s="699"/>
      <c r="B138" s="664"/>
      <c r="C138" s="297" t="s">
        <v>234</v>
      </c>
      <c r="D138" s="290">
        <f>D50</f>
        <v>0</v>
      </c>
      <c r="E138" s="290">
        <f>E50</f>
        <v>0</v>
      </c>
      <c r="F138" s="290">
        <f>F50</f>
        <v>0</v>
      </c>
      <c r="G138" s="686"/>
      <c r="H138" s="6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</row>
    <row r="139" spans="1:19" ht="16.5" customHeight="1" thickBot="1">
      <c r="A139" s="700"/>
      <c r="B139" s="701"/>
      <c r="C139" s="298" t="s">
        <v>235</v>
      </c>
      <c r="D139" s="296" t="e">
        <f>D137*D138</f>
        <v>#VALUE!</v>
      </c>
      <c r="E139" s="296" t="e">
        <f t="shared" ref="E139:F139" si="32">E137*E138</f>
        <v>#VALUE!</v>
      </c>
      <c r="F139" s="296" t="e">
        <f t="shared" si="32"/>
        <v>#VALUE!</v>
      </c>
      <c r="G139" s="690"/>
      <c r="H139" s="691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</row>
  </sheetData>
  <mergeCells count="462">
    <mergeCell ref="C92:D92"/>
    <mergeCell ref="I62:J62"/>
    <mergeCell ref="I68:J68"/>
    <mergeCell ref="K62:L62"/>
    <mergeCell ref="K68:L68"/>
    <mergeCell ref="M62:N62"/>
    <mergeCell ref="M68:N68"/>
    <mergeCell ref="AF114:AG114"/>
    <mergeCell ref="B116:B119"/>
    <mergeCell ref="E116:E119"/>
    <mergeCell ref="F116:F119"/>
    <mergeCell ref="G116:H119"/>
    <mergeCell ref="W114:Y114"/>
    <mergeCell ref="Z114:AB114"/>
    <mergeCell ref="AC114:AE114"/>
    <mergeCell ref="Z111:Z112"/>
    <mergeCell ref="AA111:AA112"/>
    <mergeCell ref="AB111:AB112"/>
    <mergeCell ref="AC111:AC112"/>
    <mergeCell ref="AD111:AD112"/>
    <mergeCell ref="AE111:AE112"/>
    <mergeCell ref="AF111:AF112"/>
    <mergeCell ref="AG111:AG112"/>
    <mergeCell ref="Q113:R113"/>
    <mergeCell ref="B120:B123"/>
    <mergeCell ref="E120:E123"/>
    <mergeCell ref="F120:F123"/>
    <mergeCell ref="G120:H123"/>
    <mergeCell ref="B114:C115"/>
    <mergeCell ref="D114:D115"/>
    <mergeCell ref="E114:E115"/>
    <mergeCell ref="F114:F115"/>
    <mergeCell ref="G114:H115"/>
    <mergeCell ref="N129:P130"/>
    <mergeCell ref="K131:M132"/>
    <mergeCell ref="N131:P132"/>
    <mergeCell ref="B132:B135"/>
    <mergeCell ref="G132:H135"/>
    <mergeCell ref="G136:H139"/>
    <mergeCell ref="A98:S98"/>
    <mergeCell ref="K125:M126"/>
    <mergeCell ref="N125:P126"/>
    <mergeCell ref="A114:A139"/>
    <mergeCell ref="B124:B127"/>
    <mergeCell ref="G124:H127"/>
    <mergeCell ref="B136:B139"/>
    <mergeCell ref="B111:B112"/>
    <mergeCell ref="D111:E112"/>
    <mergeCell ref="P111:P112"/>
    <mergeCell ref="K127:M128"/>
    <mergeCell ref="N127:P128"/>
    <mergeCell ref="B128:B131"/>
    <mergeCell ref="G128:H131"/>
    <mergeCell ref="K129:M130"/>
    <mergeCell ref="B105:B106"/>
    <mergeCell ref="D105:E106"/>
    <mergeCell ref="P105:P106"/>
    <mergeCell ref="Q111:R112"/>
    <mergeCell ref="S111:S112"/>
    <mergeCell ref="V111:V112"/>
    <mergeCell ref="W111:W112"/>
    <mergeCell ref="X111:X112"/>
    <mergeCell ref="Y111:Y112"/>
    <mergeCell ref="AG107:AG108"/>
    <mergeCell ref="B109:B110"/>
    <mergeCell ref="D109:E110"/>
    <mergeCell ref="P109:P110"/>
    <mergeCell ref="Q109:R110"/>
    <mergeCell ref="S109:S110"/>
    <mergeCell ref="V109:V110"/>
    <mergeCell ref="W109:W110"/>
    <mergeCell ref="X109:X110"/>
    <mergeCell ref="Y109:Y110"/>
    <mergeCell ref="Z109:Z110"/>
    <mergeCell ref="AA109:AA110"/>
    <mergeCell ref="AB109:AB110"/>
    <mergeCell ref="AC109:AC110"/>
    <mergeCell ref="AD109:AD110"/>
    <mergeCell ref="AE109:AE110"/>
    <mergeCell ref="AF109:AF110"/>
    <mergeCell ref="AG109:AG110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B107:B108"/>
    <mergeCell ref="D107:E108"/>
    <mergeCell ref="P107:P108"/>
    <mergeCell ref="Q107:R108"/>
    <mergeCell ref="S107:S108"/>
    <mergeCell ref="V107:V108"/>
    <mergeCell ref="W107:W108"/>
    <mergeCell ref="X107:X108"/>
    <mergeCell ref="Y107:Y108"/>
    <mergeCell ref="Z107:Z108"/>
    <mergeCell ref="AA107:AA108"/>
    <mergeCell ref="AB107:AB108"/>
    <mergeCell ref="AC107:AC108"/>
    <mergeCell ref="AD107:AD108"/>
    <mergeCell ref="AE107:AE108"/>
    <mergeCell ref="AF107:AF108"/>
    <mergeCell ref="Q105:R106"/>
    <mergeCell ref="S105:S106"/>
    <mergeCell ref="V105:V106"/>
    <mergeCell ref="W105:W106"/>
    <mergeCell ref="X105:X106"/>
    <mergeCell ref="Y105:Y106"/>
    <mergeCell ref="AE101:AE102"/>
    <mergeCell ref="AF101:AF102"/>
    <mergeCell ref="AG101:AG102"/>
    <mergeCell ref="X103:X104"/>
    <mergeCell ref="Y103:Y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V101:V102"/>
    <mergeCell ref="W101:W102"/>
    <mergeCell ref="X101:X102"/>
    <mergeCell ref="Y101:Y102"/>
    <mergeCell ref="Z101:Z102"/>
    <mergeCell ref="B103:B104"/>
    <mergeCell ref="J103:K104"/>
    <mergeCell ref="L103:M104"/>
    <mergeCell ref="N103:O104"/>
    <mergeCell ref="P103:P104"/>
    <mergeCell ref="Q103:R104"/>
    <mergeCell ref="S103:S104"/>
    <mergeCell ref="V103:V104"/>
    <mergeCell ref="W103:W104"/>
    <mergeCell ref="AA101:AA102"/>
    <mergeCell ref="AB101:AB102"/>
    <mergeCell ref="AC101:AC102"/>
    <mergeCell ref="AD101:AD102"/>
    <mergeCell ref="A95:Q95"/>
    <mergeCell ref="W98:AG98"/>
    <mergeCell ref="A99:A112"/>
    <mergeCell ref="B99:C100"/>
    <mergeCell ref="D99:E99"/>
    <mergeCell ref="F99:G99"/>
    <mergeCell ref="H99:I99"/>
    <mergeCell ref="J99:K99"/>
    <mergeCell ref="L99:M99"/>
    <mergeCell ref="N99:O99"/>
    <mergeCell ref="P99:P100"/>
    <mergeCell ref="Q99:R100"/>
    <mergeCell ref="S99:S100"/>
    <mergeCell ref="W99:Y99"/>
    <mergeCell ref="Z99:AB99"/>
    <mergeCell ref="AC99:AE99"/>
    <mergeCell ref="AF99:AG99"/>
    <mergeCell ref="B101:B102"/>
    <mergeCell ref="J101:K102"/>
    <mergeCell ref="L101:M102"/>
    <mergeCell ref="N101:O102"/>
    <mergeCell ref="P101:P102"/>
    <mergeCell ref="Q101:R102"/>
    <mergeCell ref="S101:S102"/>
    <mergeCell ref="AD13:AD14"/>
    <mergeCell ref="AD15:AD16"/>
    <mergeCell ref="AD17:AD18"/>
    <mergeCell ref="AD19:AD20"/>
    <mergeCell ref="AD21:AD22"/>
    <mergeCell ref="AD23:AD24"/>
    <mergeCell ref="A55:S55"/>
    <mergeCell ref="A56:S56"/>
    <mergeCell ref="K36:M38"/>
    <mergeCell ref="K39:M40"/>
    <mergeCell ref="K41:M42"/>
    <mergeCell ref="K43:M44"/>
    <mergeCell ref="N36:P38"/>
    <mergeCell ref="N39:P40"/>
    <mergeCell ref="N41:P42"/>
    <mergeCell ref="N43:P44"/>
    <mergeCell ref="AC26:AE26"/>
    <mergeCell ref="Q19:R20"/>
    <mergeCell ref="Q21:R22"/>
    <mergeCell ref="Q23:R24"/>
    <mergeCell ref="B23:B24"/>
    <mergeCell ref="B21:B22"/>
    <mergeCell ref="B15:B16"/>
    <mergeCell ref="S17:S18"/>
    <mergeCell ref="S19:S20"/>
    <mergeCell ref="S21:S22"/>
    <mergeCell ref="D26:D27"/>
    <mergeCell ref="E26:E27"/>
    <mergeCell ref="F26:F27"/>
    <mergeCell ref="D23:E24"/>
    <mergeCell ref="D21:E22"/>
    <mergeCell ref="B17:B18"/>
    <mergeCell ref="D17:E18"/>
    <mergeCell ref="B19:B20"/>
    <mergeCell ref="D19:E20"/>
    <mergeCell ref="A26:A51"/>
    <mergeCell ref="B28:B31"/>
    <mergeCell ref="E28:E31"/>
    <mergeCell ref="F28:F31"/>
    <mergeCell ref="B44:B47"/>
    <mergeCell ref="B32:B35"/>
    <mergeCell ref="E32:E35"/>
    <mergeCell ref="B26:C27"/>
    <mergeCell ref="F32:F35"/>
    <mergeCell ref="B36:B39"/>
    <mergeCell ref="B40:B43"/>
    <mergeCell ref="B48:B51"/>
    <mergeCell ref="L11:M11"/>
    <mergeCell ref="L13:M14"/>
    <mergeCell ref="L15:M16"/>
    <mergeCell ref="J15:K16"/>
    <mergeCell ref="J11:K11"/>
    <mergeCell ref="N11:O11"/>
    <mergeCell ref="P11:P12"/>
    <mergeCell ref="B11:C12"/>
    <mergeCell ref="B5:D5"/>
    <mergeCell ref="B6:D6"/>
    <mergeCell ref="B7:D7"/>
    <mergeCell ref="B8:D8"/>
    <mergeCell ref="B9:D9"/>
    <mergeCell ref="D11:E11"/>
    <mergeCell ref="F11:G11"/>
    <mergeCell ref="H11:I11"/>
    <mergeCell ref="B13:B14"/>
    <mergeCell ref="J13:K14"/>
    <mergeCell ref="N13:O14"/>
    <mergeCell ref="N15:O16"/>
    <mergeCell ref="W56:AA56"/>
    <mergeCell ref="P13:P14"/>
    <mergeCell ref="P15:P16"/>
    <mergeCell ref="V15:V16"/>
    <mergeCell ref="W15:W16"/>
    <mergeCell ref="Y15:Y16"/>
    <mergeCell ref="Z15:Z16"/>
    <mergeCell ref="Q17:R18"/>
    <mergeCell ref="V19:V20"/>
    <mergeCell ref="W19:W20"/>
    <mergeCell ref="Y19:Y20"/>
    <mergeCell ref="Z19:Z20"/>
    <mergeCell ref="P17:P18"/>
    <mergeCell ref="P19:P20"/>
    <mergeCell ref="P21:P22"/>
    <mergeCell ref="AA13:AA14"/>
    <mergeCell ref="AA15:AA16"/>
    <mergeCell ref="X13:X14"/>
    <mergeCell ref="X15:X16"/>
    <mergeCell ref="A57:B58"/>
    <mergeCell ref="C57:D57"/>
    <mergeCell ref="E57:F57"/>
    <mergeCell ref="G57:H57"/>
    <mergeCell ref="I57:J57"/>
    <mergeCell ref="K57:L57"/>
    <mergeCell ref="M57:N57"/>
    <mergeCell ref="R57:R58"/>
    <mergeCell ref="S57:S58"/>
    <mergeCell ref="V59:V60"/>
    <mergeCell ref="W59:W60"/>
    <mergeCell ref="X59:X60"/>
    <mergeCell ref="Y59:Y60"/>
    <mergeCell ref="Z59:Z60"/>
    <mergeCell ref="I64:J64"/>
    <mergeCell ref="K64:L64"/>
    <mergeCell ref="M64:N64"/>
    <mergeCell ref="P64:Q64"/>
    <mergeCell ref="K63:L63"/>
    <mergeCell ref="M63:N63"/>
    <mergeCell ref="P63:Q63"/>
    <mergeCell ref="Y61:Y62"/>
    <mergeCell ref="Z61:Z62"/>
    <mergeCell ref="Y63:Y64"/>
    <mergeCell ref="Z63:Z64"/>
    <mergeCell ref="R59:R64"/>
    <mergeCell ref="V61:V62"/>
    <mergeCell ref="W61:W62"/>
    <mergeCell ref="X61:X62"/>
    <mergeCell ref="S59:S64"/>
    <mergeCell ref="V63:V64"/>
    <mergeCell ref="W63:W64"/>
    <mergeCell ref="X63:X64"/>
    <mergeCell ref="A59:A64"/>
    <mergeCell ref="I59:J59"/>
    <mergeCell ref="K59:L59"/>
    <mergeCell ref="M59:N59"/>
    <mergeCell ref="P59:Q59"/>
    <mergeCell ref="I60:J60"/>
    <mergeCell ref="K60:L60"/>
    <mergeCell ref="M60:N60"/>
    <mergeCell ref="P60:Q60"/>
    <mergeCell ref="I63:J63"/>
    <mergeCell ref="I61:J61"/>
    <mergeCell ref="K61:L61"/>
    <mergeCell ref="M61:N61"/>
    <mergeCell ref="P61:Q61"/>
    <mergeCell ref="P62:Q62"/>
    <mergeCell ref="Z70:Z71"/>
    <mergeCell ref="V65:V66"/>
    <mergeCell ref="W65:W66"/>
    <mergeCell ref="X65:X66"/>
    <mergeCell ref="Y65:Y66"/>
    <mergeCell ref="Z65:Z66"/>
    <mergeCell ref="K70:L70"/>
    <mergeCell ref="M70:N70"/>
    <mergeCell ref="P70:Q70"/>
    <mergeCell ref="V67:V69"/>
    <mergeCell ref="W67:W69"/>
    <mergeCell ref="W70:W71"/>
    <mergeCell ref="X70:X71"/>
    <mergeCell ref="Y70:Y71"/>
    <mergeCell ref="X67:X69"/>
    <mergeCell ref="Y67:Y69"/>
    <mergeCell ref="Z67:Z69"/>
    <mergeCell ref="K69:L69"/>
    <mergeCell ref="M69:N69"/>
    <mergeCell ref="P69:Q69"/>
    <mergeCell ref="V70:V71"/>
    <mergeCell ref="A65:A70"/>
    <mergeCell ref="I65:J65"/>
    <mergeCell ref="K65:L65"/>
    <mergeCell ref="M65:N65"/>
    <mergeCell ref="R65:R70"/>
    <mergeCell ref="S65:S70"/>
    <mergeCell ref="I66:J66"/>
    <mergeCell ref="I67:J67"/>
    <mergeCell ref="K67:L67"/>
    <mergeCell ref="M67:N67"/>
    <mergeCell ref="P67:Q67"/>
    <mergeCell ref="I69:J69"/>
    <mergeCell ref="I70:J70"/>
    <mergeCell ref="P65:Q65"/>
    <mergeCell ref="K66:L66"/>
    <mergeCell ref="M66:N66"/>
    <mergeCell ref="P66:Q66"/>
    <mergeCell ref="P68:Q68"/>
    <mergeCell ref="A83:A88"/>
    <mergeCell ref="C83:D83"/>
    <mergeCell ref="R83:R88"/>
    <mergeCell ref="S83:S88"/>
    <mergeCell ref="C84:D84"/>
    <mergeCell ref="C85:D85"/>
    <mergeCell ref="C87:D87"/>
    <mergeCell ref="C88:D88"/>
    <mergeCell ref="A71:A76"/>
    <mergeCell ref="C71:D71"/>
    <mergeCell ref="R71:R76"/>
    <mergeCell ref="S71:S76"/>
    <mergeCell ref="C72:D72"/>
    <mergeCell ref="C73:D73"/>
    <mergeCell ref="C75:D75"/>
    <mergeCell ref="C76:D76"/>
    <mergeCell ref="C74:D74"/>
    <mergeCell ref="C80:D80"/>
    <mergeCell ref="C86:D86"/>
    <mergeCell ref="Q5:S5"/>
    <mergeCell ref="N5:P5"/>
    <mergeCell ref="N6:O6"/>
    <mergeCell ref="N7:P7"/>
    <mergeCell ref="A5:A9"/>
    <mergeCell ref="E5:K5"/>
    <mergeCell ref="M5:M9"/>
    <mergeCell ref="A11:A24"/>
    <mergeCell ref="A89:A94"/>
    <mergeCell ref="C89:D89"/>
    <mergeCell ref="R89:R94"/>
    <mergeCell ref="S89:S94"/>
    <mergeCell ref="C90:D90"/>
    <mergeCell ref="C91:D91"/>
    <mergeCell ref="C93:D93"/>
    <mergeCell ref="C94:D94"/>
    <mergeCell ref="A77:A82"/>
    <mergeCell ref="C77:D77"/>
    <mergeCell ref="R77:R82"/>
    <mergeCell ref="S77:S82"/>
    <mergeCell ref="C78:D78"/>
    <mergeCell ref="C79:D79"/>
    <mergeCell ref="C81:D81"/>
    <mergeCell ref="C82:D82"/>
    <mergeCell ref="S11:S12"/>
    <mergeCell ref="Q13:R14"/>
    <mergeCell ref="Q15:R16"/>
    <mergeCell ref="Q11:R12"/>
    <mergeCell ref="S13:S14"/>
    <mergeCell ref="S15:S16"/>
    <mergeCell ref="AE15:AE16"/>
    <mergeCell ref="AF15:AF16"/>
    <mergeCell ref="M1:S2"/>
    <mergeCell ref="A4:S4"/>
    <mergeCell ref="W10:AG10"/>
    <mergeCell ref="W11:Y11"/>
    <mergeCell ref="Z11:AB11"/>
    <mergeCell ref="AC11:AE11"/>
    <mergeCell ref="AF11:AG11"/>
    <mergeCell ref="V13:V14"/>
    <mergeCell ref="W13:W14"/>
    <mergeCell ref="Y13:Y14"/>
    <mergeCell ref="Z13:Z14"/>
    <mergeCell ref="AB13:AB14"/>
    <mergeCell ref="AC13:AC14"/>
    <mergeCell ref="AE13:AE14"/>
    <mergeCell ref="AF13:AF14"/>
    <mergeCell ref="AG13:AG14"/>
    <mergeCell ref="AG15:AG16"/>
    <mergeCell ref="V17:V18"/>
    <mergeCell ref="W17:W18"/>
    <mergeCell ref="Y17:Y18"/>
    <mergeCell ref="Z17:Z18"/>
    <mergeCell ref="AB17:AB18"/>
    <mergeCell ref="AC17:AC18"/>
    <mergeCell ref="AE17:AE18"/>
    <mergeCell ref="AF17:AF18"/>
    <mergeCell ref="AG17:AG18"/>
    <mergeCell ref="AA17:AA18"/>
    <mergeCell ref="X17:X18"/>
    <mergeCell ref="AB15:AB16"/>
    <mergeCell ref="AC15:AC16"/>
    <mergeCell ref="AB19:AB20"/>
    <mergeCell ref="AC19:AC20"/>
    <mergeCell ref="AE19:AE20"/>
    <mergeCell ref="AF19:AF20"/>
    <mergeCell ref="AG19:AG20"/>
    <mergeCell ref="AA19:AA20"/>
    <mergeCell ref="X19:X20"/>
    <mergeCell ref="V21:V22"/>
    <mergeCell ref="W21:W22"/>
    <mergeCell ref="Y21:Y22"/>
    <mergeCell ref="Z21:Z22"/>
    <mergeCell ref="AB21:AB22"/>
    <mergeCell ref="AC21:AC22"/>
    <mergeCell ref="AE21:AE22"/>
    <mergeCell ref="AF21:AF22"/>
    <mergeCell ref="AG21:AG22"/>
    <mergeCell ref="AA21:AA22"/>
    <mergeCell ref="X21:X22"/>
    <mergeCell ref="AF26:AG26"/>
    <mergeCell ref="G28:H31"/>
    <mergeCell ref="G32:H35"/>
    <mergeCell ref="G36:H39"/>
    <mergeCell ref="G40:H43"/>
    <mergeCell ref="G44:H47"/>
    <mergeCell ref="G48:H51"/>
    <mergeCell ref="V23:V24"/>
    <mergeCell ref="W23:W24"/>
    <mergeCell ref="Y23:Y24"/>
    <mergeCell ref="Z23:Z24"/>
    <mergeCell ref="AB23:AB24"/>
    <mergeCell ref="AC23:AC24"/>
    <mergeCell ref="AE23:AE24"/>
    <mergeCell ref="AF23:AF24"/>
    <mergeCell ref="AG23:AG24"/>
    <mergeCell ref="S23:S24"/>
    <mergeCell ref="G26:H27"/>
    <mergeCell ref="AA23:AA24"/>
    <mergeCell ref="W26:Y26"/>
    <mergeCell ref="Z26:AB26"/>
    <mergeCell ref="X23:X24"/>
    <mergeCell ref="P23:P24"/>
    <mergeCell ref="Q25:R25"/>
  </mergeCells>
  <phoneticPr fontId="2" type="noConversion"/>
  <conditionalFormatting sqref="C59:H59 O59 C65:H65 O65 E71:Q71 E77:Q77 E83:Q83 E89:Q89">
    <cfRule type="containsText" dxfId="37" priority="30" operator="containsText" text="康軒">
      <formula>NOT(ISERROR(SEARCH("康軒",C59)))</formula>
    </cfRule>
  </conditionalFormatting>
  <conditionalFormatting sqref="C65:H65 O65 E71:Q71 E77:Q77 E83:Q83 E89:Q89 C59:H59 O59">
    <cfRule type="containsText" dxfId="32" priority="29" operator="containsText" text="翰林">
      <formula>NOT(ISERROR(SEARCH("翰林",C59)))</formula>
    </cfRule>
  </conditionalFormatting>
  <conditionalFormatting sqref="C65:H65 O65 E71:Q71 E77:Q77 E83:Q83 E89:Q89">
    <cfRule type="containsText" dxfId="31" priority="28" operator="containsText" text="南一">
      <formula>NOT(ISERROR(SEARCH("南一",C65)))</formula>
    </cfRule>
  </conditionalFormatting>
  <conditionalFormatting sqref="C65:H65 O65">
    <cfRule type="containsText" dxfId="30" priority="27" operator="containsText" text="何嘉仁">
      <formula>NOT(ISERROR(SEARCH("何嘉仁",C65)))</formula>
    </cfRule>
  </conditionalFormatting>
  <conditionalFormatting sqref="C59:I59">
    <cfRule type="containsText" dxfId="29" priority="15" operator="containsText" text="南一">
      <formula>NOT(ISERROR(SEARCH("南一",C59)))</formula>
    </cfRule>
    <cfRule type="containsText" dxfId="28" priority="13" operator="containsText" text="何嘉仁">
      <formula>NOT(ISERROR(SEARCH("何嘉仁",C59)))</formula>
    </cfRule>
  </conditionalFormatting>
  <conditionalFormatting sqref="D13:I13 D15:I15 F17:O17 F19:O19 F21:O21 F23:O23 D28 D32 D36:F36 D40:F40 D44:F44 D48:F48 C59:H59 O59 C65:H65 O65 E71:Q71 E77:Q77 E83:Q83 E89:Q89 D101:I101 D103:I103 F105:O105 F107:O107 F109:O109 F111:O111 D116 D120 D124:F124 D128:F128 D132:F132 D136:F136">
    <cfRule type="containsText" dxfId="27" priority="55" operator="containsText" text="康軒">
      <formula>NOT(ISERROR(SEARCH("康軒",C13)))</formula>
    </cfRule>
    <cfRule type="containsText" dxfId="26" priority="54" operator="containsText" text="翰林">
      <formula>NOT(ISERROR(SEARCH("翰林",C13)))</formula>
    </cfRule>
  </conditionalFormatting>
  <conditionalFormatting sqref="D101:I101 D103:I103 F105:O105 F107:O107 F109:O109 F111:O111 D116 D120 D124:F124 D128:F128 D132:F132 D136:F136">
    <cfRule type="containsText" dxfId="25" priority="26" operator="containsText" text="康軒">
      <formula>NOT(ISERROR(SEARCH("康軒",D101)))</formula>
    </cfRule>
    <cfRule type="containsText" dxfId="24" priority="25" operator="containsText" text="翰林">
      <formula>NOT(ISERROR(SEARCH("翰林",D101)))</formula>
    </cfRule>
  </conditionalFormatting>
  <conditionalFormatting sqref="F17:O17 F19:O19 F21:O21 F23:O23 C59:H59 O59 C65:H65 O65 E71:Q71 E77:Q77 E83:Q83 E89:Q89 D101:I101 D103:I103 F105:O105 F107:O107 F109:O109 F111:O111 D116 D120 D124:F124 D128:F128 D132:F132 D136:F136 D13:I13 D15:I15 D28 D32 D36:F36 D40:F40 D44:F44 D48:F48">
    <cfRule type="containsText" dxfId="19" priority="53" operator="containsText" text="南一">
      <formula>NOT(ISERROR(SEARCH("南一",C13)))</formula>
    </cfRule>
  </conditionalFormatting>
  <conditionalFormatting sqref="F105:O105 F107:O107 F109:O109 F111:O111 D101:I101 D103:I103 D116 D120 D124:F124 D128:F128 D132:F132 D136:F136">
    <cfRule type="containsText" dxfId="18" priority="24" operator="containsText" text="南一">
      <formula>NOT(ISERROR(SEARCH("南一",D101)))</formula>
    </cfRule>
  </conditionalFormatting>
  <conditionalFormatting sqref="I59">
    <cfRule type="containsText" dxfId="17" priority="14" operator="containsText" text="翰林">
      <formula>NOT(ISERROR(SEARCH("翰林",I59)))</formula>
    </cfRule>
    <cfRule type="containsText" dxfId="16" priority="16" operator="containsText" text="康軒">
      <formula>NOT(ISERROR(SEARCH("康軒",I59)))</formula>
    </cfRule>
  </conditionalFormatting>
  <conditionalFormatting sqref="K59:K70 M59:M70 I60:I70">
    <cfRule type="containsText" dxfId="15" priority="12" operator="containsText" text="康軒">
      <formula>NOT(ISERROR(SEARCH("康軒",I59)))</formula>
    </cfRule>
    <cfRule type="containsText" dxfId="14" priority="11" operator="containsText" text="南一">
      <formula>NOT(ISERROR(SEARCH("南一",I59)))</formula>
    </cfRule>
    <cfRule type="containsText" dxfId="13" priority="10" operator="containsText" text="翰林">
      <formula>NOT(ISERROR(SEARCH("翰林",I59)))</formula>
    </cfRule>
    <cfRule type="containsText" dxfId="12" priority="9" operator="containsText" text="何嘉仁">
      <formula>NOT(ISERROR(SEARCH("何嘉仁",I59)))</formula>
    </cfRule>
  </conditionalFormatting>
  <conditionalFormatting sqref="M17 M19 M21 M23">
    <cfRule type="containsText" dxfId="11" priority="47" operator="containsText" text="南一">
      <formula>NOT(ISERROR(SEARCH("南一",M17)))</formula>
    </cfRule>
    <cfRule type="containsText" dxfId="10" priority="48" operator="containsText" text="翰林">
      <formula>NOT(ISERROR(SEARCH("翰林",M17)))</formula>
    </cfRule>
    <cfRule type="containsText" dxfId="9" priority="49" operator="containsText" text="康軒">
      <formula>NOT(ISERROR(SEARCH("康軒",M17)))</formula>
    </cfRule>
  </conditionalFormatting>
  <conditionalFormatting sqref="N17:O17 N19:O19 N21:O21 N23:O23 E71:Q71 E77:Q77 E83:Q83 E89:Q89 N105:O105 N107:O107 N109:O109 N111:O111">
    <cfRule type="containsText" dxfId="8" priority="17" operator="containsText" text="何嘉仁">
      <formula>NOT(ISERROR(SEARCH("何嘉仁",E17)))</formula>
    </cfRule>
  </conditionalFormatting>
  <conditionalFormatting sqref="O59:P59">
    <cfRule type="containsText" dxfId="7" priority="5" operator="containsText" text="何嘉仁">
      <formula>NOT(ISERROR(SEARCH("何嘉仁",O59)))</formula>
    </cfRule>
    <cfRule type="containsText" dxfId="6" priority="7" operator="containsText" text="南一">
      <formula>NOT(ISERROR(SEARCH("南一",O59)))</formula>
    </cfRule>
  </conditionalFormatting>
  <conditionalFormatting sqref="P59">
    <cfRule type="containsText" dxfId="5" priority="6" operator="containsText" text="翰林">
      <formula>NOT(ISERROR(SEARCH("翰林",P59)))</formula>
    </cfRule>
    <cfRule type="containsText" dxfId="4" priority="8" operator="containsText" text="康軒">
      <formula>NOT(ISERROR(SEARCH("康軒",P59)))</formula>
    </cfRule>
  </conditionalFormatting>
  <conditionalFormatting sqref="P60:P70">
    <cfRule type="containsText" dxfId="3" priority="2" operator="containsText" text="翰林">
      <formula>NOT(ISERROR(SEARCH("翰林",P60)))</formula>
    </cfRule>
    <cfRule type="containsText" dxfId="2" priority="3" operator="containsText" text="南一">
      <formula>NOT(ISERROR(SEARCH("南一",P60)))</formula>
    </cfRule>
    <cfRule type="containsText" dxfId="1" priority="4" operator="containsText" text="康軒">
      <formula>NOT(ISERROR(SEARCH("康軒",P60)))</formula>
    </cfRule>
    <cfRule type="containsText" dxfId="0" priority="1" operator="containsText" text="何嘉仁">
      <formula>NOT(ISERROR(SEARCH("何嘉仁",P60)))</formula>
    </cfRule>
  </conditionalFormatting>
  <dataValidations count="3">
    <dataValidation type="list" allowBlank="1" showInputMessage="1" showErrorMessage="1" sqref="N17:O17 N19:O19 N21:O21 N23:O23 N105:O105 N107:O107 N109:O109 N111:O111" xr:uid="{00000000-0002-0000-0100-000000000000}">
      <formula1>英語</formula1>
    </dataValidation>
    <dataValidation type="list" allowBlank="1" showInputMessage="1" showErrorMessage="1" sqref="D13:I13 D15:I15 F21:M21 F17:M17 F23:M23 D44:F44 D48:F48 D40:F40 D36:F36 F19:M19 D28 D32 D120 D101:I101 D136:F136 F105:M105 D103:I103 D128:F128 D132:F132 D124:F124 F109:M109 F107:M107 D116 F111:M111" xr:uid="{00000000-0002-0000-0100-000001000000}">
      <formula1>版本</formula1>
    </dataValidation>
    <dataValidation type="whole" allowBlank="1" showInputMessage="1" showErrorMessage="1" sqref="C61:H62 O61:O62 C67:H68 O67:O68 E73:Q74 E79:Q80 E85:Q86 E91:Q92" xr:uid="{00000000-0002-0000-0100-000002000000}">
      <formula1>0</formula1>
      <formula2>30</formula2>
    </dataValidation>
  </dataValidations>
  <pageMargins left="0.7" right="0.7" top="0.75" bottom="0.75" header="0.3" footer="0.3"/>
  <pageSetup paperSize="9" scale="56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6" operator="containsText" text="康軒" id="{82E01A65-3174-4724-8C86-5DFC71A8D0F6}">
            <xm:f>NOT(ISERROR(SEARCH("康軒",'統計表 '!C53)))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45" operator="containsText" text="南一" id="{8573553F-ADF9-4011-A784-E65C821CC380}">
            <xm:f>NOT(ISERROR(SEARCH("南一",'統計表 '!C53)))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44" operator="containsText" text="翰林" id="{961B98DA-3D70-4A47-A9D9-BCF8DE737E26}">
            <xm:f>NOT(ISERROR(SEARCH("翰林",'統計表 '!C53)))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3" operator="containsText" text="何嘉仁" id="{441335DA-3C3B-447D-B44B-1D88A8E7FAA6}">
            <xm:f>NOT(ISERROR(SEARCH("何嘉仁",'統計表 '!C53)))</xm:f>
            <x14:dxf>
              <fill>
                <patternFill>
                  <bgColor theme="7" tint="0.59996337778862885"/>
                </patternFill>
              </fill>
            </x14:dxf>
          </x14:cfRule>
          <xm:sqref>C59:H59 O59 C65:H65 O65 E71:Q71 E77:Q77 E83:Q83</xm:sqref>
        </x14:conditionalFormatting>
        <x14:conditionalFormatting xmlns:xm="http://schemas.microsoft.com/office/excel/2006/main">
          <x14:cfRule type="containsText" priority="84" operator="containsText" text="南一" id="{8573553F-ADF9-4011-A784-E65C821CC380}">
            <xm:f>NOT(ISERROR(SEARCH("南一",'統計表 '!E82)))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85" operator="containsText" text="康軒" id="{82E01A65-3174-4724-8C86-5DFC71A8D0F6}">
            <xm:f>NOT(ISERROR(SEARCH("康軒",'統計表 '!E82)))</xm:f>
            <x14:dxf>
              <fill>
                <patternFill>
                  <bgColor theme="3" tint="0.79998168889431442"/>
                </patternFill>
              </fill>
            </x14:dxf>
          </x14:cfRule>
          <x14:cfRule type="containsText" priority="74" operator="containsText" text="何嘉仁" id="{441335DA-3C3B-447D-B44B-1D88A8E7FAA6}">
            <xm:f>NOT(ISERROR(SEARCH("何嘉仁",'統計表 '!E82)))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3" operator="containsText" text="翰林" id="{961B98DA-3D70-4A47-A9D9-BCF8DE737E26}">
            <xm:f>NOT(ISERROR(SEARCH("翰林",'統計表 '!E82)))</xm:f>
            <x14:dxf>
              <fill>
                <patternFill>
                  <bgColor theme="9" tint="0.59996337778862885"/>
                </patternFill>
              </fill>
            </x14:dxf>
          </x14:cfRule>
          <xm:sqref>E89:Q89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">
    <pageSetUpPr fitToPage="1"/>
  </sheetPr>
  <dimension ref="A1:Q38"/>
  <sheetViews>
    <sheetView workbookViewId="0">
      <selection sqref="A1:G1"/>
    </sheetView>
  </sheetViews>
  <sheetFormatPr defaultColWidth="10.1640625" defaultRowHeight="16.5"/>
  <cols>
    <col min="1" max="1" width="15" style="33" customWidth="1"/>
    <col min="2" max="2" width="18.83203125" style="33" customWidth="1"/>
    <col min="3" max="3" width="25.6640625" style="49" customWidth="1"/>
    <col min="4" max="4" width="11" style="33" customWidth="1"/>
    <col min="5" max="5" width="10" style="33" customWidth="1"/>
    <col min="6" max="6" width="11.33203125" style="33" customWidth="1"/>
    <col min="7" max="7" width="10.83203125" style="33" customWidth="1"/>
    <col min="8" max="8" width="12" style="33" customWidth="1"/>
    <col min="9" max="9" width="5.6640625" style="33" customWidth="1"/>
    <col min="10" max="10" width="5.5" style="33" customWidth="1"/>
    <col min="11" max="11" width="6.6640625" style="33" customWidth="1"/>
    <col min="12" max="12" width="14" style="33" customWidth="1"/>
    <col min="13" max="16384" width="10.1640625" style="33"/>
  </cols>
  <sheetData>
    <row r="1" spans="1:17" ht="21">
      <c r="A1" s="727" t="s">
        <v>265</v>
      </c>
      <c r="B1" s="727"/>
      <c r="C1" s="727"/>
      <c r="D1" s="727"/>
      <c r="E1" s="727"/>
      <c r="F1" s="727"/>
      <c r="G1" s="727"/>
      <c r="H1" s="32"/>
      <c r="I1" s="32"/>
      <c r="J1" s="32"/>
      <c r="K1" s="32"/>
      <c r="L1" s="32"/>
    </row>
    <row r="2" spans="1:17" ht="27.75">
      <c r="A2" s="728" t="s">
        <v>75</v>
      </c>
      <c r="B2" s="728"/>
      <c r="C2" s="728"/>
      <c r="D2" s="728"/>
      <c r="E2" s="728"/>
      <c r="F2" s="728"/>
      <c r="G2" s="728"/>
      <c r="H2" s="34"/>
      <c r="I2" s="34"/>
      <c r="J2" s="34"/>
      <c r="K2" s="34"/>
      <c r="L2" s="34"/>
    </row>
    <row r="3" spans="1:17" ht="32.65" customHeight="1">
      <c r="A3" s="729" t="s">
        <v>76</v>
      </c>
      <c r="B3" s="731" t="s">
        <v>77</v>
      </c>
      <c r="C3" s="731" t="s">
        <v>78</v>
      </c>
      <c r="D3" s="733" t="s">
        <v>79</v>
      </c>
      <c r="E3" s="734"/>
      <c r="F3" s="729" t="s">
        <v>80</v>
      </c>
      <c r="G3" s="729"/>
      <c r="Q3" s="35"/>
    </row>
    <row r="4" spans="1:17" ht="22.5" customHeight="1">
      <c r="A4" s="730"/>
      <c r="B4" s="732"/>
      <c r="C4" s="732"/>
      <c r="D4" s="36" t="s">
        <v>81</v>
      </c>
      <c r="E4" s="36" t="s">
        <v>82</v>
      </c>
      <c r="F4" s="37" t="s">
        <v>83</v>
      </c>
      <c r="G4" s="37" t="s">
        <v>84</v>
      </c>
    </row>
    <row r="5" spans="1:17" ht="28.9" customHeight="1">
      <c r="A5" s="38"/>
      <c r="B5" s="39"/>
      <c r="C5" s="40"/>
      <c r="D5" s="39"/>
      <c r="E5" s="39"/>
      <c r="F5" s="39"/>
      <c r="G5" s="39"/>
      <c r="H5" s="41"/>
    </row>
    <row r="6" spans="1:17" ht="28.9" customHeight="1">
      <c r="A6" s="38"/>
      <c r="B6" s="42"/>
      <c r="C6" s="40"/>
      <c r="D6" s="42"/>
      <c r="E6" s="42"/>
      <c r="F6" s="42"/>
      <c r="G6" s="42"/>
    </row>
    <row r="7" spans="1:17" ht="28.9" customHeight="1">
      <c r="A7" s="38"/>
      <c r="B7" s="42"/>
      <c r="C7" s="40"/>
      <c r="D7" s="42"/>
      <c r="E7" s="42"/>
      <c r="F7" s="42"/>
      <c r="G7" s="42"/>
    </row>
    <row r="8" spans="1:17" ht="28.9" customHeight="1">
      <c r="A8" s="38"/>
      <c r="B8" s="42"/>
      <c r="C8" s="40"/>
      <c r="D8" s="42"/>
      <c r="E8" s="42"/>
      <c r="F8" s="42"/>
      <c r="G8" s="42"/>
    </row>
    <row r="9" spans="1:17" ht="28.9" customHeight="1">
      <c r="A9" s="38"/>
      <c r="B9" s="42"/>
      <c r="C9" s="40"/>
      <c r="D9" s="42"/>
      <c r="E9" s="42"/>
      <c r="F9" s="42"/>
      <c r="G9" s="42"/>
    </row>
    <row r="10" spans="1:17" ht="28.9" customHeight="1">
      <c r="A10" s="38"/>
      <c r="B10" s="42"/>
      <c r="C10" s="40"/>
      <c r="D10" s="42"/>
      <c r="E10" s="42"/>
      <c r="F10" s="42"/>
      <c r="G10" s="42"/>
    </row>
    <row r="11" spans="1:17" ht="28.9" customHeight="1">
      <c r="A11" s="38"/>
      <c r="B11" s="42"/>
      <c r="C11" s="40"/>
      <c r="D11" s="42"/>
      <c r="E11" s="42"/>
      <c r="F11" s="42"/>
      <c r="G11" s="42"/>
    </row>
    <row r="12" spans="1:17" ht="28.9" customHeight="1">
      <c r="A12" s="38"/>
      <c r="B12" s="42"/>
      <c r="C12" s="40"/>
      <c r="D12" s="42"/>
      <c r="E12" s="42"/>
      <c r="F12" s="42"/>
      <c r="G12" s="42"/>
    </row>
    <row r="13" spans="1:17" ht="28.9" customHeight="1">
      <c r="A13" s="38"/>
      <c r="B13" s="42"/>
      <c r="C13" s="40"/>
      <c r="D13" s="42"/>
      <c r="E13" s="42"/>
      <c r="F13" s="42"/>
      <c r="G13" s="42"/>
    </row>
    <row r="14" spans="1:17" ht="28.9" customHeight="1">
      <c r="A14" s="38"/>
      <c r="B14" s="42"/>
      <c r="C14" s="40"/>
      <c r="D14" s="42"/>
      <c r="E14" s="42"/>
      <c r="F14" s="42"/>
      <c r="G14" s="42"/>
    </row>
    <row r="15" spans="1:17" ht="28.9" customHeight="1">
      <c r="A15" s="38"/>
      <c r="B15" s="42"/>
      <c r="C15" s="40"/>
      <c r="D15" s="42"/>
      <c r="E15" s="42"/>
      <c r="F15" s="42"/>
      <c r="G15" s="42"/>
    </row>
    <row r="16" spans="1:17" ht="28.9" customHeight="1">
      <c r="A16" s="38"/>
      <c r="B16" s="42"/>
      <c r="C16" s="40"/>
      <c r="D16" s="42"/>
      <c r="E16" s="42"/>
      <c r="F16" s="42"/>
      <c r="G16" s="42"/>
    </row>
    <row r="17" spans="1:7" ht="28.9" customHeight="1">
      <c r="A17" s="38"/>
      <c r="B17" s="42"/>
      <c r="C17" s="40"/>
      <c r="D17" s="42"/>
      <c r="E17" s="42"/>
      <c r="F17" s="42"/>
      <c r="G17" s="42"/>
    </row>
    <row r="18" spans="1:7" ht="28.9" customHeight="1">
      <c r="A18" s="38"/>
      <c r="B18" s="42"/>
      <c r="C18" s="40"/>
      <c r="D18" s="42"/>
      <c r="E18" s="42"/>
      <c r="F18" s="42"/>
      <c r="G18" s="42"/>
    </row>
    <row r="19" spans="1:7" ht="28.9" customHeight="1">
      <c r="A19" s="38"/>
      <c r="B19" s="42"/>
      <c r="C19" s="40"/>
      <c r="D19" s="42"/>
      <c r="E19" s="42"/>
      <c r="F19" s="42"/>
      <c r="G19" s="42"/>
    </row>
    <row r="20" spans="1:7" ht="28.9" customHeight="1">
      <c r="A20" s="38"/>
      <c r="B20" s="42"/>
      <c r="C20" s="40"/>
      <c r="D20" s="42"/>
      <c r="E20" s="42"/>
      <c r="F20" s="42"/>
      <c r="G20" s="42"/>
    </row>
    <row r="21" spans="1:7" ht="28.9" customHeight="1">
      <c r="A21" s="38"/>
      <c r="B21" s="42"/>
      <c r="C21" s="40"/>
      <c r="D21" s="42"/>
      <c r="E21" s="42"/>
      <c r="F21" s="42"/>
      <c r="G21" s="42"/>
    </row>
    <row r="22" spans="1:7" ht="28.9" customHeight="1">
      <c r="A22" s="38"/>
      <c r="B22" s="42"/>
      <c r="C22" s="40"/>
      <c r="D22" s="42"/>
      <c r="E22" s="42"/>
      <c r="F22" s="42"/>
      <c r="G22" s="42"/>
    </row>
    <row r="23" spans="1:7" ht="28.9" customHeight="1">
      <c r="A23" s="38"/>
      <c r="B23" s="42"/>
      <c r="C23" s="40"/>
      <c r="D23" s="42"/>
      <c r="E23" s="42"/>
      <c r="F23" s="42"/>
      <c r="G23" s="42"/>
    </row>
    <row r="24" spans="1:7" ht="28.9" customHeight="1">
      <c r="A24" s="38"/>
      <c r="B24" s="42"/>
      <c r="C24" s="40"/>
      <c r="D24" s="42"/>
      <c r="E24" s="42"/>
      <c r="F24" s="42"/>
      <c r="G24" s="42"/>
    </row>
    <row r="25" spans="1:7" ht="28.9" customHeight="1">
      <c r="A25" s="38"/>
      <c r="B25" s="42"/>
      <c r="C25" s="40"/>
      <c r="D25" s="42"/>
      <c r="E25" s="42"/>
      <c r="F25" s="42"/>
      <c r="G25" s="42"/>
    </row>
    <row r="26" spans="1:7" ht="28.9" customHeight="1">
      <c r="A26" s="38"/>
      <c r="B26" s="42"/>
      <c r="C26" s="40"/>
      <c r="D26" s="42"/>
      <c r="E26" s="42"/>
      <c r="F26" s="42"/>
      <c r="G26" s="42"/>
    </row>
    <row r="27" spans="1:7" ht="28.9" customHeight="1">
      <c r="A27" s="38"/>
      <c r="B27" s="42"/>
      <c r="C27" s="40"/>
      <c r="D27" s="42"/>
      <c r="E27" s="42"/>
      <c r="F27" s="42"/>
      <c r="G27" s="42"/>
    </row>
    <row r="28" spans="1:7" ht="28.9" customHeight="1">
      <c r="A28" s="38"/>
      <c r="B28" s="42"/>
      <c r="C28" s="40"/>
      <c r="D28" s="42"/>
      <c r="E28" s="42"/>
      <c r="F28" s="42"/>
      <c r="G28" s="42"/>
    </row>
    <row r="29" spans="1:7" ht="28.9" customHeight="1">
      <c r="A29" s="38"/>
      <c r="B29" s="42"/>
      <c r="C29" s="40"/>
      <c r="D29" s="42"/>
      <c r="E29" s="42"/>
      <c r="F29" s="42"/>
      <c r="G29" s="42"/>
    </row>
    <row r="30" spans="1:7" ht="28.9" customHeight="1">
      <c r="A30" s="38"/>
      <c r="B30" s="42"/>
      <c r="C30" s="40"/>
      <c r="D30" s="42"/>
      <c r="E30" s="42"/>
      <c r="F30" s="42"/>
      <c r="G30" s="42"/>
    </row>
    <row r="31" spans="1:7" ht="28.9" customHeight="1">
      <c r="A31" s="38"/>
      <c r="B31" s="42"/>
      <c r="C31" s="40"/>
      <c r="D31" s="42"/>
      <c r="E31" s="42"/>
      <c r="F31" s="42"/>
      <c r="G31" s="42"/>
    </row>
    <row r="32" spans="1:7" ht="28.9" customHeight="1">
      <c r="A32" s="38"/>
      <c r="B32" s="42"/>
      <c r="C32" s="40"/>
      <c r="D32" s="42"/>
      <c r="E32" s="42"/>
      <c r="F32" s="42"/>
      <c r="G32" s="42"/>
    </row>
    <row r="33" spans="1:12" ht="28.9" customHeight="1">
      <c r="A33" s="43" t="s">
        <v>85</v>
      </c>
      <c r="B33" s="42"/>
      <c r="C33" s="40"/>
      <c r="D33" s="42"/>
      <c r="E33" s="42"/>
      <c r="F33" s="42"/>
      <c r="G33" s="42"/>
    </row>
    <row r="34" spans="1:12" ht="28.9" customHeight="1">
      <c r="A34" s="719" t="s">
        <v>86</v>
      </c>
      <c r="B34" s="720"/>
      <c r="C34" s="721"/>
      <c r="D34" s="44">
        <f>SUM(D5:D33)</f>
        <v>0</v>
      </c>
      <c r="E34" s="44">
        <f>SUM(E5:E33)</f>
        <v>0</v>
      </c>
      <c r="F34" s="44">
        <f>SUM(F5:F33)</f>
        <v>0</v>
      </c>
      <c r="G34" s="44">
        <f>SUM(G5:G33)</f>
        <v>0</v>
      </c>
    </row>
    <row r="35" spans="1:12" ht="28.9" customHeight="1">
      <c r="A35" s="722"/>
      <c r="B35" s="723"/>
      <c r="C35" s="724"/>
      <c r="D35" s="725">
        <f>SUM(D34:E34)</f>
        <v>0</v>
      </c>
      <c r="E35" s="726"/>
      <c r="F35" s="725">
        <f>SUM(F34:G34)</f>
        <v>0</v>
      </c>
      <c r="G35" s="726"/>
    </row>
    <row r="36" spans="1:12" ht="21">
      <c r="A36" s="45" t="s">
        <v>87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>
      <c r="A38" s="47"/>
      <c r="B38" s="47"/>
      <c r="C38" s="47"/>
      <c r="D38" s="47"/>
      <c r="E38" s="47"/>
      <c r="F38" s="47"/>
      <c r="G38" s="47"/>
      <c r="H38" s="48"/>
      <c r="I38" s="48"/>
      <c r="J38" s="48"/>
      <c r="K38" s="48"/>
      <c r="L38" s="48"/>
    </row>
  </sheetData>
  <sheetProtection formatCells="0" formatColumns="0" formatRows="0" insertColumns="0" insertRows="0" insertHyperlinks="0" deleteColumns="0" deleteRows="0" selectLockedCells="1" sort="0" autoFilter="0"/>
  <mergeCells count="10">
    <mergeCell ref="A34:C35"/>
    <mergeCell ref="D35:E35"/>
    <mergeCell ref="F35:G35"/>
    <mergeCell ref="A1:G1"/>
    <mergeCell ref="A2:G2"/>
    <mergeCell ref="A3:A4"/>
    <mergeCell ref="B3:B4"/>
    <mergeCell ref="C3:C4"/>
    <mergeCell ref="D3:E3"/>
    <mergeCell ref="F3:G3"/>
  </mergeCells>
  <phoneticPr fontId="2" type="noConversion"/>
  <pageMargins left="0.74803149606299213" right="0.6692913385826772" top="0.74803149606299213" bottom="0.98425196850393704" header="0.51181102362204722" footer="0.51181102362204722"/>
  <pageSetup paperSize="9" scale="7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3"/>
  <dimension ref="A1:Q91"/>
  <sheetViews>
    <sheetView workbookViewId="0">
      <selection sqref="A1:Q1"/>
    </sheetView>
  </sheetViews>
  <sheetFormatPr defaultColWidth="9" defaultRowHeight="14.25"/>
  <cols>
    <col min="1" max="1" width="5" style="22" customWidth="1"/>
    <col min="2" max="2" width="18.1640625" style="22" bestFit="1" customWidth="1"/>
    <col min="3" max="3" width="5" style="22" customWidth="1"/>
    <col min="4" max="5" width="6.1640625" style="22" bestFit="1" customWidth="1"/>
    <col min="6" max="17" width="8.1640625" style="22" customWidth="1"/>
    <col min="18" max="16384" width="9" style="22"/>
  </cols>
  <sheetData>
    <row r="1" spans="1:17" s="21" customFormat="1" ht="23.25" customHeight="1">
      <c r="A1" s="735" t="s">
        <v>266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</row>
    <row r="2" spans="1:17" ht="17.649999999999999" customHeight="1">
      <c r="A2" s="739"/>
      <c r="B2" s="740"/>
      <c r="C2" s="740"/>
      <c r="D2" s="740"/>
      <c r="E2" s="741"/>
      <c r="F2" s="736" t="s">
        <v>1</v>
      </c>
      <c r="G2" s="737"/>
      <c r="H2" s="738"/>
      <c r="I2" s="736" t="s">
        <v>2</v>
      </c>
      <c r="J2" s="737"/>
      <c r="K2" s="738"/>
      <c r="L2" s="736" t="s">
        <v>3</v>
      </c>
      <c r="M2" s="737"/>
      <c r="N2" s="738"/>
      <c r="O2" s="736" t="s">
        <v>13</v>
      </c>
      <c r="P2" s="737"/>
      <c r="Q2" s="738"/>
    </row>
    <row r="3" spans="1:17" ht="78.75">
      <c r="A3" s="313" t="s">
        <v>16</v>
      </c>
      <c r="B3" s="313" t="s">
        <v>34</v>
      </c>
      <c r="C3" s="314" t="s">
        <v>255</v>
      </c>
      <c r="D3" s="313" t="s">
        <v>0</v>
      </c>
      <c r="E3" s="313" t="s">
        <v>17</v>
      </c>
      <c r="F3" s="315" t="s">
        <v>18</v>
      </c>
      <c r="G3" s="316" t="s">
        <v>32</v>
      </c>
      <c r="H3" s="314" t="s">
        <v>33</v>
      </c>
      <c r="I3" s="315" t="s">
        <v>18</v>
      </c>
      <c r="J3" s="316" t="s">
        <v>32</v>
      </c>
      <c r="K3" s="314" t="s">
        <v>33</v>
      </c>
      <c r="L3" s="315" t="s">
        <v>18</v>
      </c>
      <c r="M3" s="316" t="s">
        <v>32</v>
      </c>
      <c r="N3" s="314" t="s">
        <v>33</v>
      </c>
      <c r="O3" s="315" t="s">
        <v>18</v>
      </c>
      <c r="P3" s="316" t="s">
        <v>32</v>
      </c>
      <c r="Q3" s="314" t="s">
        <v>33</v>
      </c>
    </row>
    <row r="4" spans="1:17" ht="19.7" customHeight="1">
      <c r="A4" s="317">
        <v>1</v>
      </c>
      <c r="B4" s="313" t="s">
        <v>19</v>
      </c>
      <c r="C4" s="317">
        <v>1</v>
      </c>
      <c r="D4" s="317"/>
      <c r="E4" s="313" t="s">
        <v>14</v>
      </c>
      <c r="F4" s="318"/>
      <c r="G4" s="317"/>
      <c r="H4" s="317"/>
      <c r="I4" s="318"/>
      <c r="J4" s="317"/>
      <c r="K4" s="317"/>
      <c r="L4" s="318"/>
      <c r="M4" s="317"/>
      <c r="N4" s="317"/>
      <c r="O4" s="315"/>
      <c r="P4" s="313"/>
      <c r="Q4" s="313"/>
    </row>
    <row r="5" spans="1:17" ht="19.7" customHeight="1">
      <c r="A5" s="317">
        <v>2</v>
      </c>
      <c r="B5" s="313" t="s">
        <v>19</v>
      </c>
      <c r="C5" s="317">
        <v>1</v>
      </c>
      <c r="D5" s="317"/>
      <c r="E5" s="313" t="s">
        <v>15</v>
      </c>
      <c r="F5" s="318"/>
      <c r="G5" s="317"/>
      <c r="H5" s="317"/>
      <c r="I5" s="318"/>
      <c r="J5" s="317"/>
      <c r="K5" s="317"/>
      <c r="L5" s="318"/>
      <c r="M5" s="317"/>
      <c r="N5" s="317"/>
      <c r="O5" s="315"/>
      <c r="P5" s="313"/>
      <c r="Q5" s="313"/>
    </row>
    <row r="6" spans="1:17" ht="19.7" customHeight="1">
      <c r="A6" s="317">
        <v>3</v>
      </c>
      <c r="B6" s="313" t="s">
        <v>20</v>
      </c>
      <c r="C6" s="317">
        <v>1</v>
      </c>
      <c r="D6" s="317"/>
      <c r="E6" s="313" t="s">
        <v>14</v>
      </c>
      <c r="F6" s="318"/>
      <c r="G6" s="317"/>
      <c r="H6" s="317"/>
      <c r="I6" s="318"/>
      <c r="J6" s="317"/>
      <c r="K6" s="317"/>
      <c r="L6" s="318"/>
      <c r="M6" s="317"/>
      <c r="N6" s="317"/>
      <c r="O6" s="315"/>
      <c r="P6" s="313"/>
      <c r="Q6" s="313"/>
    </row>
    <row r="7" spans="1:17" ht="19.7" customHeight="1">
      <c r="A7" s="317">
        <v>4</v>
      </c>
      <c r="B7" s="313" t="s">
        <v>20</v>
      </c>
      <c r="C7" s="317">
        <v>1</v>
      </c>
      <c r="D7" s="317"/>
      <c r="E7" s="313" t="s">
        <v>15</v>
      </c>
      <c r="F7" s="318"/>
      <c r="G7" s="317"/>
      <c r="H7" s="317"/>
      <c r="I7" s="318"/>
      <c r="J7" s="317"/>
      <c r="K7" s="317"/>
      <c r="L7" s="319"/>
      <c r="M7" s="320"/>
      <c r="N7" s="320"/>
      <c r="O7" s="315"/>
      <c r="P7" s="313"/>
      <c r="Q7" s="313"/>
    </row>
    <row r="8" spans="1:17" ht="19.7" customHeight="1">
      <c r="A8" s="317">
        <v>5</v>
      </c>
      <c r="B8" s="313" t="s">
        <v>21</v>
      </c>
      <c r="C8" s="317">
        <v>1</v>
      </c>
      <c r="D8" s="317"/>
      <c r="E8" s="313" t="s">
        <v>14</v>
      </c>
      <c r="F8" s="318"/>
      <c r="G8" s="317"/>
      <c r="H8" s="317"/>
      <c r="I8" s="318"/>
      <c r="J8" s="317"/>
      <c r="K8" s="317"/>
      <c r="L8" s="318"/>
      <c r="M8" s="317"/>
      <c r="N8" s="317"/>
      <c r="O8" s="315"/>
      <c r="P8" s="313"/>
      <c r="Q8" s="313"/>
    </row>
    <row r="9" spans="1:17" ht="19.7" customHeight="1">
      <c r="A9" s="317">
        <v>6</v>
      </c>
      <c r="B9" s="313" t="s">
        <v>21</v>
      </c>
      <c r="C9" s="317">
        <v>1</v>
      </c>
      <c r="D9" s="317"/>
      <c r="E9" s="313" t="s">
        <v>15</v>
      </c>
      <c r="F9" s="318"/>
      <c r="G9" s="317"/>
      <c r="H9" s="317"/>
      <c r="I9" s="318"/>
      <c r="J9" s="317"/>
      <c r="K9" s="317"/>
      <c r="L9" s="318"/>
      <c r="M9" s="317"/>
      <c r="N9" s="317"/>
      <c r="O9" s="315"/>
      <c r="P9" s="313"/>
      <c r="Q9" s="313"/>
    </row>
    <row r="10" spans="1:17" ht="19.7" customHeight="1">
      <c r="A10" s="317">
        <v>7</v>
      </c>
      <c r="B10" s="313" t="s">
        <v>22</v>
      </c>
      <c r="C10" s="317">
        <v>1</v>
      </c>
      <c r="D10" s="317"/>
      <c r="E10" s="313" t="s">
        <v>14</v>
      </c>
      <c r="F10" s="318"/>
      <c r="G10" s="317"/>
      <c r="H10" s="317"/>
      <c r="I10" s="318"/>
      <c r="J10" s="317"/>
      <c r="K10" s="317"/>
      <c r="L10" s="318"/>
      <c r="M10" s="317"/>
      <c r="N10" s="317"/>
      <c r="O10" s="315"/>
      <c r="P10" s="313"/>
      <c r="Q10" s="313"/>
    </row>
    <row r="11" spans="1:17" ht="19.7" customHeight="1">
      <c r="A11" s="317">
        <v>8</v>
      </c>
      <c r="B11" s="313" t="s">
        <v>19</v>
      </c>
      <c r="C11" s="317">
        <v>2</v>
      </c>
      <c r="D11" s="317"/>
      <c r="E11" s="313" t="s">
        <v>14</v>
      </c>
      <c r="F11" s="318"/>
      <c r="G11" s="317"/>
      <c r="H11" s="317"/>
      <c r="I11" s="318"/>
      <c r="J11" s="317"/>
      <c r="K11" s="317"/>
      <c r="L11" s="318"/>
      <c r="M11" s="317"/>
      <c r="N11" s="317"/>
      <c r="O11" s="315"/>
      <c r="P11" s="313"/>
      <c r="Q11" s="313"/>
    </row>
    <row r="12" spans="1:17" ht="19.7" customHeight="1">
      <c r="A12" s="317">
        <v>9</v>
      </c>
      <c r="B12" s="313" t="s">
        <v>19</v>
      </c>
      <c r="C12" s="317">
        <v>2</v>
      </c>
      <c r="D12" s="317"/>
      <c r="E12" s="313" t="s">
        <v>15</v>
      </c>
      <c r="F12" s="318"/>
      <c r="G12" s="317"/>
      <c r="H12" s="317"/>
      <c r="I12" s="318"/>
      <c r="J12" s="317"/>
      <c r="K12" s="317"/>
      <c r="L12" s="318"/>
      <c r="M12" s="317"/>
      <c r="N12" s="317"/>
      <c r="O12" s="315"/>
      <c r="P12" s="313"/>
      <c r="Q12" s="313"/>
    </row>
    <row r="13" spans="1:17" ht="19.7" customHeight="1">
      <c r="A13" s="317">
        <v>10</v>
      </c>
      <c r="B13" s="313" t="s">
        <v>20</v>
      </c>
      <c r="C13" s="317">
        <v>2</v>
      </c>
      <c r="D13" s="317"/>
      <c r="E13" s="313" t="s">
        <v>14</v>
      </c>
      <c r="F13" s="318"/>
      <c r="G13" s="317"/>
      <c r="H13" s="317"/>
      <c r="I13" s="318"/>
      <c r="J13" s="317"/>
      <c r="K13" s="317"/>
      <c r="L13" s="318"/>
      <c r="M13" s="317"/>
      <c r="N13" s="317"/>
      <c r="O13" s="315"/>
      <c r="P13" s="313"/>
      <c r="Q13" s="313"/>
    </row>
    <row r="14" spans="1:17" ht="19.7" customHeight="1">
      <c r="A14" s="317">
        <v>11</v>
      </c>
      <c r="B14" s="313" t="s">
        <v>20</v>
      </c>
      <c r="C14" s="317">
        <v>2</v>
      </c>
      <c r="D14" s="317"/>
      <c r="E14" s="313" t="s">
        <v>15</v>
      </c>
      <c r="F14" s="318"/>
      <c r="G14" s="317"/>
      <c r="H14" s="317"/>
      <c r="I14" s="318"/>
      <c r="J14" s="317"/>
      <c r="K14" s="317"/>
      <c r="L14" s="318"/>
      <c r="M14" s="317"/>
      <c r="N14" s="317"/>
      <c r="O14" s="315"/>
      <c r="P14" s="313"/>
      <c r="Q14" s="313"/>
    </row>
    <row r="15" spans="1:17" ht="19.7" customHeight="1">
      <c r="A15" s="317">
        <v>12</v>
      </c>
      <c r="B15" s="313" t="s">
        <v>21</v>
      </c>
      <c r="C15" s="317">
        <v>2</v>
      </c>
      <c r="D15" s="317"/>
      <c r="E15" s="313" t="s">
        <v>14</v>
      </c>
      <c r="F15" s="318"/>
      <c r="G15" s="317"/>
      <c r="H15" s="317"/>
      <c r="I15" s="318"/>
      <c r="J15" s="317"/>
      <c r="K15" s="317"/>
      <c r="L15" s="318"/>
      <c r="M15" s="317"/>
      <c r="N15" s="317"/>
      <c r="O15" s="315"/>
      <c r="P15" s="313"/>
      <c r="Q15" s="313"/>
    </row>
    <row r="16" spans="1:17" ht="19.7" customHeight="1">
      <c r="A16" s="317">
        <v>13</v>
      </c>
      <c r="B16" s="313" t="s">
        <v>21</v>
      </c>
      <c r="C16" s="317">
        <v>2</v>
      </c>
      <c r="D16" s="317"/>
      <c r="E16" s="313" t="s">
        <v>15</v>
      </c>
      <c r="F16" s="318"/>
      <c r="G16" s="317"/>
      <c r="H16" s="317"/>
      <c r="I16" s="318"/>
      <c r="J16" s="317"/>
      <c r="K16" s="317"/>
      <c r="L16" s="318"/>
      <c r="M16" s="317"/>
      <c r="N16" s="317"/>
      <c r="O16" s="315"/>
      <c r="P16" s="313"/>
      <c r="Q16" s="313"/>
    </row>
    <row r="17" spans="1:17" ht="19.7" customHeight="1">
      <c r="A17" s="317">
        <v>14</v>
      </c>
      <c r="B17" s="313" t="s">
        <v>22</v>
      </c>
      <c r="C17" s="317">
        <v>2</v>
      </c>
      <c r="D17" s="317"/>
      <c r="E17" s="313" t="s">
        <v>14</v>
      </c>
      <c r="F17" s="318"/>
      <c r="G17" s="317"/>
      <c r="H17" s="317"/>
      <c r="I17" s="318"/>
      <c r="J17" s="317"/>
      <c r="K17" s="317"/>
      <c r="L17" s="318"/>
      <c r="M17" s="317"/>
      <c r="N17" s="317"/>
      <c r="O17" s="315"/>
      <c r="P17" s="313"/>
      <c r="Q17" s="313"/>
    </row>
    <row r="18" spans="1:17" ht="19.7" customHeight="1">
      <c r="A18" s="317">
        <v>15</v>
      </c>
      <c r="B18" s="313" t="s">
        <v>19</v>
      </c>
      <c r="C18" s="317">
        <v>3</v>
      </c>
      <c r="D18" s="317"/>
      <c r="E18" s="313" t="s">
        <v>14</v>
      </c>
      <c r="F18" s="318"/>
      <c r="G18" s="317"/>
      <c r="H18" s="317"/>
      <c r="I18" s="318"/>
      <c r="J18" s="317"/>
      <c r="K18" s="317"/>
      <c r="L18" s="318"/>
      <c r="M18" s="317"/>
      <c r="N18" s="317"/>
      <c r="O18" s="315"/>
      <c r="P18" s="313"/>
      <c r="Q18" s="313"/>
    </row>
    <row r="19" spans="1:17" ht="19.7" customHeight="1">
      <c r="A19" s="317">
        <v>16</v>
      </c>
      <c r="B19" s="313" t="s">
        <v>19</v>
      </c>
      <c r="C19" s="317">
        <v>3</v>
      </c>
      <c r="D19" s="317"/>
      <c r="E19" s="313" t="s">
        <v>15</v>
      </c>
      <c r="F19" s="318"/>
      <c r="G19" s="317"/>
      <c r="H19" s="317"/>
      <c r="I19" s="318"/>
      <c r="J19" s="317"/>
      <c r="K19" s="317"/>
      <c r="L19" s="318"/>
      <c r="M19" s="317"/>
      <c r="N19" s="317"/>
      <c r="O19" s="315"/>
      <c r="P19" s="313"/>
      <c r="Q19" s="313"/>
    </row>
    <row r="20" spans="1:17" ht="19.7" customHeight="1">
      <c r="A20" s="317">
        <v>17</v>
      </c>
      <c r="B20" s="313" t="s">
        <v>20</v>
      </c>
      <c r="C20" s="317">
        <v>3</v>
      </c>
      <c r="D20" s="317"/>
      <c r="E20" s="313" t="s">
        <v>14</v>
      </c>
      <c r="F20" s="318"/>
      <c r="G20" s="317"/>
      <c r="H20" s="317"/>
      <c r="I20" s="318"/>
      <c r="J20" s="317"/>
      <c r="K20" s="317"/>
      <c r="L20" s="318"/>
      <c r="M20" s="317"/>
      <c r="N20" s="317"/>
      <c r="O20" s="315"/>
      <c r="P20" s="313"/>
      <c r="Q20" s="313"/>
    </row>
    <row r="21" spans="1:17" ht="19.7" customHeight="1">
      <c r="A21" s="317">
        <v>18</v>
      </c>
      <c r="B21" s="313" t="s">
        <v>20</v>
      </c>
      <c r="C21" s="317">
        <v>3</v>
      </c>
      <c r="D21" s="317"/>
      <c r="E21" s="313" t="s">
        <v>15</v>
      </c>
      <c r="F21" s="318"/>
      <c r="G21" s="317"/>
      <c r="H21" s="317"/>
      <c r="I21" s="318"/>
      <c r="J21" s="317"/>
      <c r="K21" s="317"/>
      <c r="L21" s="318"/>
      <c r="M21" s="317"/>
      <c r="N21" s="317"/>
      <c r="O21" s="315"/>
      <c r="P21" s="313"/>
      <c r="Q21" s="313"/>
    </row>
    <row r="22" spans="1:17" ht="19.7" customHeight="1">
      <c r="A22" s="317">
        <v>19</v>
      </c>
      <c r="B22" s="313" t="s">
        <v>23</v>
      </c>
      <c r="C22" s="317">
        <v>3</v>
      </c>
      <c r="D22" s="317"/>
      <c r="E22" s="313" t="s">
        <v>14</v>
      </c>
      <c r="F22" s="318"/>
      <c r="G22" s="317"/>
      <c r="H22" s="317"/>
      <c r="I22" s="318"/>
      <c r="J22" s="317"/>
      <c r="K22" s="317"/>
      <c r="L22" s="318"/>
      <c r="M22" s="317"/>
      <c r="N22" s="317"/>
      <c r="O22" s="315"/>
      <c r="P22" s="313"/>
      <c r="Q22" s="313"/>
    </row>
    <row r="23" spans="1:17" ht="19.7" customHeight="1">
      <c r="A23" s="317">
        <v>20</v>
      </c>
      <c r="B23" s="313" t="s">
        <v>23</v>
      </c>
      <c r="C23" s="317">
        <v>3</v>
      </c>
      <c r="D23" s="317"/>
      <c r="E23" s="313" t="s">
        <v>15</v>
      </c>
      <c r="F23" s="318"/>
      <c r="G23" s="317"/>
      <c r="H23" s="317"/>
      <c r="I23" s="318"/>
      <c r="J23" s="317"/>
      <c r="K23" s="317"/>
      <c r="L23" s="318"/>
      <c r="M23" s="317"/>
      <c r="N23" s="317"/>
      <c r="O23" s="315"/>
      <c r="P23" s="313"/>
      <c r="Q23" s="313"/>
    </row>
    <row r="24" spans="1:17" ht="19.7" customHeight="1">
      <c r="A24" s="317">
        <v>21</v>
      </c>
      <c r="B24" s="313" t="s">
        <v>25</v>
      </c>
      <c r="C24" s="317">
        <v>3</v>
      </c>
      <c r="D24" s="317"/>
      <c r="E24" s="313" t="s">
        <v>14</v>
      </c>
      <c r="F24" s="318"/>
      <c r="G24" s="317"/>
      <c r="H24" s="317"/>
      <c r="I24" s="318"/>
      <c r="J24" s="317"/>
      <c r="K24" s="317"/>
      <c r="L24" s="318"/>
      <c r="M24" s="317"/>
      <c r="N24" s="317"/>
      <c r="O24" s="315"/>
      <c r="P24" s="313"/>
      <c r="Q24" s="313"/>
    </row>
    <row r="25" spans="1:17" ht="19.7" customHeight="1">
      <c r="A25" s="317">
        <v>22</v>
      </c>
      <c r="B25" s="313" t="s">
        <v>25</v>
      </c>
      <c r="C25" s="317">
        <v>3</v>
      </c>
      <c r="D25" s="317"/>
      <c r="E25" s="313" t="s">
        <v>15</v>
      </c>
      <c r="F25" s="318"/>
      <c r="G25" s="317"/>
      <c r="H25" s="317"/>
      <c r="I25" s="318"/>
      <c r="J25" s="317"/>
      <c r="K25" s="317"/>
      <c r="L25" s="318"/>
      <c r="M25" s="317"/>
      <c r="N25" s="317"/>
      <c r="O25" s="315"/>
      <c r="P25" s="313"/>
      <c r="Q25" s="313"/>
    </row>
    <row r="26" spans="1:17" ht="19.7" customHeight="1">
      <c r="A26" s="317">
        <v>23</v>
      </c>
      <c r="B26" s="313" t="s">
        <v>22</v>
      </c>
      <c r="C26" s="317">
        <v>3</v>
      </c>
      <c r="D26" s="317"/>
      <c r="E26" s="313" t="s">
        <v>14</v>
      </c>
      <c r="F26" s="318"/>
      <c r="G26" s="317"/>
      <c r="H26" s="317"/>
      <c r="I26" s="318"/>
      <c r="J26" s="317"/>
      <c r="K26" s="317"/>
      <c r="L26" s="318"/>
      <c r="M26" s="317"/>
      <c r="N26" s="317"/>
      <c r="O26" s="315"/>
      <c r="P26" s="313"/>
      <c r="Q26" s="313"/>
    </row>
    <row r="27" spans="1:17" ht="19.7" customHeight="1">
      <c r="A27" s="317">
        <v>24</v>
      </c>
      <c r="B27" s="313" t="s">
        <v>24</v>
      </c>
      <c r="C27" s="317">
        <v>3</v>
      </c>
      <c r="D27" s="317"/>
      <c r="E27" s="313" t="s">
        <v>14</v>
      </c>
      <c r="F27" s="318"/>
      <c r="G27" s="317"/>
      <c r="H27" s="317"/>
      <c r="I27" s="318"/>
      <c r="J27" s="317"/>
      <c r="K27" s="317"/>
      <c r="L27" s="318"/>
      <c r="M27" s="317"/>
      <c r="N27" s="317"/>
      <c r="O27" s="315"/>
      <c r="P27" s="313"/>
      <c r="Q27" s="313"/>
    </row>
    <row r="28" spans="1:17" ht="19.7" customHeight="1">
      <c r="A28" s="317">
        <v>25</v>
      </c>
      <c r="B28" s="313" t="s">
        <v>27</v>
      </c>
      <c r="C28" s="317">
        <v>3</v>
      </c>
      <c r="D28" s="317"/>
      <c r="E28" s="313" t="s">
        <v>14</v>
      </c>
      <c r="F28" s="315"/>
      <c r="G28" s="313"/>
      <c r="H28" s="313"/>
      <c r="I28" s="315"/>
      <c r="J28" s="317"/>
      <c r="K28" s="317"/>
      <c r="L28" s="315"/>
      <c r="M28" s="313"/>
      <c r="N28" s="313"/>
      <c r="O28" s="315"/>
      <c r="P28" s="317"/>
      <c r="Q28" s="317"/>
    </row>
    <row r="29" spans="1:17" ht="15.75">
      <c r="A29" s="317">
        <v>26</v>
      </c>
      <c r="B29" s="313" t="s">
        <v>27</v>
      </c>
      <c r="C29" s="317">
        <v>3</v>
      </c>
      <c r="D29" s="317"/>
      <c r="E29" s="313" t="s">
        <v>15</v>
      </c>
      <c r="F29" s="315"/>
      <c r="G29" s="313"/>
      <c r="H29" s="313"/>
      <c r="I29" s="315"/>
      <c r="J29" s="317"/>
      <c r="K29" s="317"/>
      <c r="L29" s="315"/>
      <c r="M29" s="313"/>
      <c r="N29" s="313"/>
      <c r="O29" s="315"/>
      <c r="P29" s="317"/>
      <c r="Q29" s="317"/>
    </row>
    <row r="30" spans="1:17" ht="15.75">
      <c r="A30" s="317">
        <v>27</v>
      </c>
      <c r="B30" s="313" t="s">
        <v>72</v>
      </c>
      <c r="C30" s="317">
        <v>3</v>
      </c>
      <c r="D30" s="317"/>
      <c r="E30" s="313" t="s">
        <v>14</v>
      </c>
      <c r="F30" s="315"/>
      <c r="G30" s="317"/>
      <c r="H30" s="317"/>
      <c r="I30" s="315"/>
      <c r="J30" s="313"/>
      <c r="K30" s="313"/>
      <c r="L30" s="315"/>
      <c r="M30" s="313"/>
      <c r="N30" s="313"/>
      <c r="O30" s="315"/>
      <c r="P30" s="313"/>
      <c r="Q30" s="313"/>
    </row>
    <row r="31" spans="1:17" ht="15.75">
      <c r="A31" s="317">
        <v>28</v>
      </c>
      <c r="B31" s="313" t="s">
        <v>72</v>
      </c>
      <c r="C31" s="317">
        <v>3</v>
      </c>
      <c r="D31" s="317"/>
      <c r="E31" s="313" t="s">
        <v>15</v>
      </c>
      <c r="F31" s="315"/>
      <c r="G31" s="317"/>
      <c r="H31" s="317"/>
      <c r="I31" s="315"/>
      <c r="J31" s="313"/>
      <c r="K31" s="313"/>
      <c r="L31" s="315"/>
      <c r="M31" s="313"/>
      <c r="N31" s="313"/>
      <c r="O31" s="315"/>
      <c r="P31" s="313"/>
      <c r="Q31" s="313"/>
    </row>
    <row r="32" spans="1:17" ht="15.75">
      <c r="A32" s="317">
        <v>29</v>
      </c>
      <c r="B32" s="313" t="s">
        <v>26</v>
      </c>
      <c r="C32" s="317">
        <v>3</v>
      </c>
      <c r="D32" s="317"/>
      <c r="E32" s="313" t="s">
        <v>14</v>
      </c>
      <c r="F32" s="318"/>
      <c r="G32" s="317"/>
      <c r="H32" s="317"/>
      <c r="I32" s="318"/>
      <c r="J32" s="317"/>
      <c r="K32" s="317"/>
      <c r="L32" s="315"/>
      <c r="M32" s="313"/>
      <c r="N32" s="313"/>
      <c r="O32" s="315"/>
      <c r="P32" s="313"/>
      <c r="Q32" s="313"/>
    </row>
    <row r="33" spans="1:17" ht="19.7" customHeight="1">
      <c r="A33" s="317">
        <v>30</v>
      </c>
      <c r="B33" s="313" t="s">
        <v>19</v>
      </c>
      <c r="C33" s="317">
        <v>4</v>
      </c>
      <c r="D33" s="317"/>
      <c r="E33" s="313" t="s">
        <v>14</v>
      </c>
      <c r="F33" s="318"/>
      <c r="G33" s="317"/>
      <c r="H33" s="317"/>
      <c r="I33" s="318"/>
      <c r="J33" s="317"/>
      <c r="K33" s="317"/>
      <c r="L33" s="318"/>
      <c r="M33" s="317"/>
      <c r="N33" s="317"/>
      <c r="O33" s="315"/>
      <c r="P33" s="313"/>
      <c r="Q33" s="313"/>
    </row>
    <row r="34" spans="1:17" ht="19.7" customHeight="1">
      <c r="A34" s="317">
        <v>31</v>
      </c>
      <c r="B34" s="313" t="s">
        <v>19</v>
      </c>
      <c r="C34" s="317">
        <v>4</v>
      </c>
      <c r="D34" s="317"/>
      <c r="E34" s="313" t="s">
        <v>15</v>
      </c>
      <c r="F34" s="318"/>
      <c r="G34" s="317"/>
      <c r="H34" s="317"/>
      <c r="I34" s="318"/>
      <c r="J34" s="317"/>
      <c r="K34" s="317"/>
      <c r="L34" s="318"/>
      <c r="M34" s="317"/>
      <c r="N34" s="317"/>
      <c r="O34" s="315"/>
      <c r="P34" s="313"/>
      <c r="Q34" s="313"/>
    </row>
    <row r="35" spans="1:17" ht="19.7" customHeight="1">
      <c r="A35" s="317">
        <v>32</v>
      </c>
      <c r="B35" s="313" t="s">
        <v>20</v>
      </c>
      <c r="C35" s="317">
        <v>4</v>
      </c>
      <c r="D35" s="317"/>
      <c r="E35" s="313" t="s">
        <v>14</v>
      </c>
      <c r="F35" s="318"/>
      <c r="G35" s="317"/>
      <c r="H35" s="317"/>
      <c r="I35" s="318"/>
      <c r="J35" s="317"/>
      <c r="K35" s="317"/>
      <c r="L35" s="318"/>
      <c r="M35" s="317"/>
      <c r="N35" s="317"/>
      <c r="O35" s="315"/>
      <c r="P35" s="313"/>
      <c r="Q35" s="313"/>
    </row>
    <row r="36" spans="1:17" ht="19.7" customHeight="1">
      <c r="A36" s="317">
        <v>33</v>
      </c>
      <c r="B36" s="313" t="s">
        <v>20</v>
      </c>
      <c r="C36" s="317">
        <v>4</v>
      </c>
      <c r="D36" s="317"/>
      <c r="E36" s="313" t="s">
        <v>15</v>
      </c>
      <c r="F36" s="318"/>
      <c r="G36" s="317"/>
      <c r="H36" s="317"/>
      <c r="I36" s="318"/>
      <c r="J36" s="317"/>
      <c r="K36" s="317"/>
      <c r="L36" s="318"/>
      <c r="M36" s="317"/>
      <c r="N36" s="317"/>
      <c r="O36" s="315"/>
      <c r="P36" s="313"/>
      <c r="Q36" s="313"/>
    </row>
    <row r="37" spans="1:17" ht="19.7" customHeight="1">
      <c r="A37" s="317">
        <v>34</v>
      </c>
      <c r="B37" s="313" t="s">
        <v>28</v>
      </c>
      <c r="C37" s="317">
        <v>4</v>
      </c>
      <c r="D37" s="317"/>
      <c r="E37" s="313" t="s">
        <v>14</v>
      </c>
      <c r="F37" s="315"/>
      <c r="G37" s="313"/>
      <c r="H37" s="313"/>
      <c r="I37" s="315"/>
      <c r="J37" s="313"/>
      <c r="K37" s="313"/>
      <c r="L37" s="315"/>
      <c r="M37" s="313"/>
      <c r="N37" s="313"/>
      <c r="O37" s="315"/>
      <c r="P37" s="313"/>
      <c r="Q37" s="313"/>
    </row>
    <row r="38" spans="1:17" ht="19.7" customHeight="1">
      <c r="A38" s="317">
        <v>35</v>
      </c>
      <c r="B38" s="313" t="s">
        <v>28</v>
      </c>
      <c r="C38" s="317">
        <v>4</v>
      </c>
      <c r="D38" s="317"/>
      <c r="E38" s="313" t="s">
        <v>15</v>
      </c>
      <c r="F38" s="315"/>
      <c r="G38" s="313"/>
      <c r="H38" s="313"/>
      <c r="I38" s="315"/>
      <c r="J38" s="313"/>
      <c r="K38" s="313"/>
      <c r="L38" s="315"/>
      <c r="M38" s="313"/>
      <c r="N38" s="313"/>
      <c r="O38" s="315"/>
      <c r="P38" s="313"/>
      <c r="Q38" s="313"/>
    </row>
    <row r="39" spans="1:17" ht="19.7" customHeight="1">
      <c r="A39" s="317">
        <v>36</v>
      </c>
      <c r="B39" s="313" t="s">
        <v>23</v>
      </c>
      <c r="C39" s="317">
        <v>4</v>
      </c>
      <c r="D39" s="317"/>
      <c r="E39" s="313" t="s">
        <v>14</v>
      </c>
      <c r="F39" s="318"/>
      <c r="G39" s="317"/>
      <c r="H39" s="317"/>
      <c r="I39" s="318"/>
      <c r="J39" s="317"/>
      <c r="K39" s="317"/>
      <c r="L39" s="318"/>
      <c r="M39" s="317"/>
      <c r="N39" s="317"/>
      <c r="O39" s="315"/>
      <c r="P39" s="313"/>
      <c r="Q39" s="313"/>
    </row>
    <row r="40" spans="1:17" ht="19.7" customHeight="1">
      <c r="A40" s="317">
        <v>37</v>
      </c>
      <c r="B40" s="313" t="s">
        <v>23</v>
      </c>
      <c r="C40" s="317">
        <v>4</v>
      </c>
      <c r="D40" s="317"/>
      <c r="E40" s="313" t="s">
        <v>15</v>
      </c>
      <c r="F40" s="318"/>
      <c r="G40" s="317"/>
      <c r="H40" s="317"/>
      <c r="I40" s="318"/>
      <c r="J40" s="317"/>
      <c r="K40" s="317"/>
      <c r="L40" s="318"/>
      <c r="M40" s="317"/>
      <c r="N40" s="317"/>
      <c r="O40" s="315"/>
      <c r="P40" s="313"/>
      <c r="Q40" s="313"/>
    </row>
    <row r="41" spans="1:17" ht="19.7" customHeight="1">
      <c r="A41" s="317">
        <v>38</v>
      </c>
      <c r="B41" s="313" t="s">
        <v>25</v>
      </c>
      <c r="C41" s="317">
        <v>4</v>
      </c>
      <c r="D41" s="317"/>
      <c r="E41" s="313" t="s">
        <v>14</v>
      </c>
      <c r="F41" s="318"/>
      <c r="G41" s="317"/>
      <c r="H41" s="317"/>
      <c r="I41" s="318"/>
      <c r="J41" s="317"/>
      <c r="K41" s="317"/>
      <c r="L41" s="318"/>
      <c r="M41" s="317"/>
      <c r="N41" s="317"/>
      <c r="O41" s="315"/>
      <c r="P41" s="313"/>
      <c r="Q41" s="313"/>
    </row>
    <row r="42" spans="1:17" ht="19.7" customHeight="1">
      <c r="A42" s="317">
        <v>39</v>
      </c>
      <c r="B42" s="313" t="s">
        <v>25</v>
      </c>
      <c r="C42" s="317">
        <v>4</v>
      </c>
      <c r="D42" s="317"/>
      <c r="E42" s="313" t="s">
        <v>15</v>
      </c>
      <c r="F42" s="318"/>
      <c r="G42" s="317"/>
      <c r="H42" s="317"/>
      <c r="I42" s="318"/>
      <c r="J42" s="317"/>
      <c r="K42" s="317"/>
      <c r="L42" s="318"/>
      <c r="M42" s="317"/>
      <c r="N42" s="317"/>
      <c r="O42" s="315"/>
      <c r="P42" s="313"/>
      <c r="Q42" s="313"/>
    </row>
    <row r="43" spans="1:17" ht="19.7" customHeight="1">
      <c r="A43" s="317">
        <v>40</v>
      </c>
      <c r="B43" s="313" t="s">
        <v>22</v>
      </c>
      <c r="C43" s="317">
        <v>4</v>
      </c>
      <c r="D43" s="317"/>
      <c r="E43" s="313" t="s">
        <v>14</v>
      </c>
      <c r="F43" s="318"/>
      <c r="G43" s="317"/>
      <c r="H43" s="317"/>
      <c r="I43" s="318"/>
      <c r="J43" s="317"/>
      <c r="K43" s="317"/>
      <c r="L43" s="318"/>
      <c r="M43" s="317"/>
      <c r="N43" s="317"/>
      <c r="O43" s="315"/>
      <c r="P43" s="313"/>
      <c r="Q43" s="313"/>
    </row>
    <row r="44" spans="1:17" ht="19.7" customHeight="1">
      <c r="A44" s="317">
        <v>41</v>
      </c>
      <c r="B44" s="313" t="s">
        <v>24</v>
      </c>
      <c r="C44" s="317">
        <v>4</v>
      </c>
      <c r="D44" s="317"/>
      <c r="E44" s="313" t="s">
        <v>14</v>
      </c>
      <c r="F44" s="318"/>
      <c r="G44" s="317"/>
      <c r="H44" s="317"/>
      <c r="I44" s="318"/>
      <c r="J44" s="317"/>
      <c r="K44" s="317"/>
      <c r="L44" s="318"/>
      <c r="M44" s="317"/>
      <c r="N44" s="317"/>
      <c r="O44" s="315"/>
      <c r="P44" s="313"/>
      <c r="Q44" s="313"/>
    </row>
    <row r="45" spans="1:17" ht="15.75">
      <c r="A45" s="317">
        <v>42</v>
      </c>
      <c r="B45" s="313" t="s">
        <v>27</v>
      </c>
      <c r="C45" s="317">
        <v>4</v>
      </c>
      <c r="D45" s="317"/>
      <c r="E45" s="313" t="s">
        <v>14</v>
      </c>
      <c r="F45" s="315"/>
      <c r="G45" s="313"/>
      <c r="H45" s="313"/>
      <c r="I45" s="315"/>
      <c r="J45" s="317"/>
      <c r="K45" s="317"/>
      <c r="L45" s="315"/>
      <c r="M45" s="313"/>
      <c r="N45" s="313"/>
      <c r="O45" s="315"/>
      <c r="P45" s="317"/>
      <c r="Q45" s="317"/>
    </row>
    <row r="46" spans="1:17" ht="15.75">
      <c r="A46" s="317">
        <v>43</v>
      </c>
      <c r="B46" s="313" t="s">
        <v>27</v>
      </c>
      <c r="C46" s="317">
        <v>4</v>
      </c>
      <c r="D46" s="317"/>
      <c r="E46" s="313" t="s">
        <v>15</v>
      </c>
      <c r="F46" s="315"/>
      <c r="G46" s="313"/>
      <c r="H46" s="313"/>
      <c r="I46" s="315"/>
      <c r="J46" s="317"/>
      <c r="K46" s="317"/>
      <c r="L46" s="315"/>
      <c r="M46" s="313"/>
      <c r="N46" s="313"/>
      <c r="O46" s="315"/>
      <c r="P46" s="317"/>
      <c r="Q46" s="317"/>
    </row>
    <row r="47" spans="1:17" ht="15.75">
      <c r="A47" s="317">
        <v>44</v>
      </c>
      <c r="B47" s="313" t="s">
        <v>73</v>
      </c>
      <c r="C47" s="317">
        <v>4</v>
      </c>
      <c r="D47" s="317"/>
      <c r="E47" s="313" t="s">
        <v>14</v>
      </c>
      <c r="F47" s="315"/>
      <c r="G47" s="313"/>
      <c r="H47" s="313"/>
      <c r="I47" s="315"/>
      <c r="J47" s="313"/>
      <c r="K47" s="313"/>
      <c r="L47" s="315"/>
      <c r="M47" s="313"/>
      <c r="N47" s="313"/>
      <c r="O47" s="315"/>
      <c r="P47" s="313"/>
      <c r="Q47" s="313"/>
    </row>
    <row r="48" spans="1:17" ht="19.7" customHeight="1">
      <c r="A48" s="317">
        <v>45</v>
      </c>
      <c r="B48" s="313" t="s">
        <v>73</v>
      </c>
      <c r="C48" s="317">
        <v>4</v>
      </c>
      <c r="D48" s="317"/>
      <c r="E48" s="313" t="s">
        <v>15</v>
      </c>
      <c r="F48" s="315"/>
      <c r="G48" s="313"/>
      <c r="H48" s="313"/>
      <c r="I48" s="315"/>
      <c r="J48" s="313"/>
      <c r="K48" s="313"/>
      <c r="L48" s="315"/>
      <c r="M48" s="313"/>
      <c r="N48" s="313"/>
      <c r="O48" s="315"/>
      <c r="P48" s="313"/>
      <c r="Q48" s="313"/>
    </row>
    <row r="49" spans="1:17" ht="15.75">
      <c r="A49" s="317">
        <v>46</v>
      </c>
      <c r="B49" s="313" t="s">
        <v>72</v>
      </c>
      <c r="C49" s="317">
        <v>4</v>
      </c>
      <c r="D49" s="317"/>
      <c r="E49" s="313" t="s">
        <v>14</v>
      </c>
      <c r="F49" s="315"/>
      <c r="G49" s="317"/>
      <c r="H49" s="317"/>
      <c r="I49" s="315"/>
      <c r="J49" s="313"/>
      <c r="K49" s="313"/>
      <c r="L49" s="315"/>
      <c r="M49" s="313"/>
      <c r="N49" s="313"/>
      <c r="O49" s="315"/>
      <c r="P49" s="313"/>
      <c r="Q49" s="313"/>
    </row>
    <row r="50" spans="1:17" ht="15.75">
      <c r="A50" s="317">
        <v>47</v>
      </c>
      <c r="B50" s="313" t="s">
        <v>72</v>
      </c>
      <c r="C50" s="317">
        <v>4</v>
      </c>
      <c r="D50" s="317"/>
      <c r="E50" s="313" t="s">
        <v>15</v>
      </c>
      <c r="F50" s="315"/>
      <c r="G50" s="317"/>
      <c r="H50" s="317"/>
      <c r="I50" s="315"/>
      <c r="J50" s="313"/>
      <c r="K50" s="313"/>
      <c r="L50" s="315"/>
      <c r="M50" s="313"/>
      <c r="N50" s="313"/>
      <c r="O50" s="315"/>
      <c r="P50" s="313"/>
      <c r="Q50" s="313"/>
    </row>
    <row r="51" spans="1:17" ht="15.75">
      <c r="A51" s="317">
        <v>48</v>
      </c>
      <c r="B51" s="313" t="s">
        <v>26</v>
      </c>
      <c r="C51" s="317">
        <v>4</v>
      </c>
      <c r="D51" s="317"/>
      <c r="E51" s="313" t="s">
        <v>14</v>
      </c>
      <c r="F51" s="318"/>
      <c r="G51" s="317"/>
      <c r="H51" s="317"/>
      <c r="I51" s="318"/>
      <c r="J51" s="317"/>
      <c r="K51" s="317"/>
      <c r="L51" s="315"/>
      <c r="M51" s="313"/>
      <c r="N51" s="313"/>
      <c r="O51" s="315"/>
      <c r="P51" s="313"/>
      <c r="Q51" s="313"/>
    </row>
    <row r="52" spans="1:17" ht="19.7" customHeight="1">
      <c r="A52" s="317">
        <v>49</v>
      </c>
      <c r="B52" s="313" t="s">
        <v>19</v>
      </c>
      <c r="C52" s="317">
        <v>5</v>
      </c>
      <c r="D52" s="317"/>
      <c r="E52" s="313" t="s">
        <v>14</v>
      </c>
      <c r="F52" s="318"/>
      <c r="G52" s="317"/>
      <c r="H52" s="317"/>
      <c r="I52" s="318"/>
      <c r="J52" s="317"/>
      <c r="K52" s="317"/>
      <c r="L52" s="318"/>
      <c r="M52" s="317"/>
      <c r="N52" s="317"/>
      <c r="O52" s="315"/>
      <c r="P52" s="313"/>
      <c r="Q52" s="313"/>
    </row>
    <row r="53" spans="1:17" ht="19.7" customHeight="1">
      <c r="A53" s="317">
        <v>50</v>
      </c>
      <c r="B53" s="313" t="s">
        <v>19</v>
      </c>
      <c r="C53" s="317">
        <v>5</v>
      </c>
      <c r="D53" s="317"/>
      <c r="E53" s="313" t="s">
        <v>15</v>
      </c>
      <c r="F53" s="318"/>
      <c r="G53" s="317"/>
      <c r="H53" s="317"/>
      <c r="I53" s="318"/>
      <c r="J53" s="317"/>
      <c r="K53" s="317"/>
      <c r="L53" s="318"/>
      <c r="M53" s="317"/>
      <c r="N53" s="317"/>
      <c r="O53" s="315"/>
      <c r="P53" s="313"/>
      <c r="Q53" s="313"/>
    </row>
    <row r="54" spans="1:17" ht="19.7" customHeight="1">
      <c r="A54" s="317">
        <v>51</v>
      </c>
      <c r="B54" s="313" t="s">
        <v>20</v>
      </c>
      <c r="C54" s="317">
        <v>5</v>
      </c>
      <c r="D54" s="317"/>
      <c r="E54" s="313" t="s">
        <v>14</v>
      </c>
      <c r="F54" s="318"/>
      <c r="G54" s="317"/>
      <c r="H54" s="317"/>
      <c r="I54" s="318"/>
      <c r="J54" s="317"/>
      <c r="K54" s="317"/>
      <c r="L54" s="319"/>
      <c r="M54" s="320"/>
      <c r="N54" s="320"/>
      <c r="O54" s="315"/>
      <c r="P54" s="313"/>
      <c r="Q54" s="313"/>
    </row>
    <row r="55" spans="1:17" ht="19.7" customHeight="1">
      <c r="A55" s="317">
        <v>52</v>
      </c>
      <c r="B55" s="313" t="s">
        <v>20</v>
      </c>
      <c r="C55" s="317">
        <v>5</v>
      </c>
      <c r="D55" s="317"/>
      <c r="E55" s="313" t="s">
        <v>15</v>
      </c>
      <c r="F55" s="318"/>
      <c r="G55" s="317"/>
      <c r="H55" s="317"/>
      <c r="I55" s="318"/>
      <c r="J55" s="317"/>
      <c r="K55" s="317"/>
      <c r="L55" s="318"/>
      <c r="M55" s="317"/>
      <c r="N55" s="317"/>
      <c r="O55" s="315"/>
      <c r="P55" s="313"/>
      <c r="Q55" s="313"/>
    </row>
    <row r="56" spans="1:17" ht="19.7" customHeight="1">
      <c r="A56" s="317">
        <v>53</v>
      </c>
      <c r="B56" s="313" t="s">
        <v>28</v>
      </c>
      <c r="C56" s="317">
        <v>5</v>
      </c>
      <c r="D56" s="317"/>
      <c r="E56" s="313" t="s">
        <v>14</v>
      </c>
      <c r="F56" s="315"/>
      <c r="G56" s="313"/>
      <c r="H56" s="313"/>
      <c r="I56" s="315"/>
      <c r="J56" s="313"/>
      <c r="K56" s="313"/>
      <c r="L56" s="315"/>
      <c r="M56" s="313"/>
      <c r="N56" s="313"/>
      <c r="O56" s="315"/>
      <c r="P56" s="313"/>
      <c r="Q56" s="313"/>
    </row>
    <row r="57" spans="1:17" ht="19.7" customHeight="1">
      <c r="A57" s="317">
        <v>54</v>
      </c>
      <c r="B57" s="313" t="s">
        <v>28</v>
      </c>
      <c r="C57" s="317">
        <v>5</v>
      </c>
      <c r="D57" s="317"/>
      <c r="E57" s="313" t="s">
        <v>15</v>
      </c>
      <c r="F57" s="315"/>
      <c r="G57" s="313"/>
      <c r="H57" s="313"/>
      <c r="I57" s="315"/>
      <c r="J57" s="313"/>
      <c r="K57" s="313"/>
      <c r="L57" s="315"/>
      <c r="M57" s="313"/>
      <c r="N57" s="313"/>
      <c r="O57" s="315"/>
      <c r="P57" s="313"/>
      <c r="Q57" s="313"/>
    </row>
    <row r="58" spans="1:17" ht="19.7" customHeight="1">
      <c r="A58" s="317">
        <v>55</v>
      </c>
      <c r="B58" s="313" t="s">
        <v>23</v>
      </c>
      <c r="C58" s="317">
        <v>5</v>
      </c>
      <c r="D58" s="317"/>
      <c r="E58" s="313" t="s">
        <v>14</v>
      </c>
      <c r="F58" s="318"/>
      <c r="G58" s="317"/>
      <c r="H58" s="317"/>
      <c r="I58" s="318"/>
      <c r="J58" s="317"/>
      <c r="K58" s="317"/>
      <c r="L58" s="318"/>
      <c r="M58" s="317"/>
      <c r="N58" s="317"/>
      <c r="O58" s="315"/>
      <c r="P58" s="313"/>
      <c r="Q58" s="313"/>
    </row>
    <row r="59" spans="1:17" ht="19.7" customHeight="1">
      <c r="A59" s="317">
        <v>56</v>
      </c>
      <c r="B59" s="313" t="s">
        <v>23</v>
      </c>
      <c r="C59" s="317">
        <v>5</v>
      </c>
      <c r="D59" s="317"/>
      <c r="E59" s="313" t="s">
        <v>15</v>
      </c>
      <c r="F59" s="318"/>
      <c r="G59" s="317"/>
      <c r="H59" s="317"/>
      <c r="I59" s="318"/>
      <c r="J59" s="317"/>
      <c r="K59" s="317"/>
      <c r="L59" s="318"/>
      <c r="M59" s="317"/>
      <c r="N59" s="317"/>
      <c r="O59" s="315"/>
      <c r="P59" s="313"/>
      <c r="Q59" s="313"/>
    </row>
    <row r="60" spans="1:17" ht="19.7" customHeight="1">
      <c r="A60" s="317">
        <v>57</v>
      </c>
      <c r="B60" s="313" t="s">
        <v>25</v>
      </c>
      <c r="C60" s="317">
        <v>5</v>
      </c>
      <c r="D60" s="317"/>
      <c r="E60" s="313" t="s">
        <v>14</v>
      </c>
      <c r="F60" s="318"/>
      <c r="G60" s="317"/>
      <c r="H60" s="317"/>
      <c r="I60" s="318"/>
      <c r="J60" s="317"/>
      <c r="K60" s="317"/>
      <c r="L60" s="318"/>
      <c r="M60" s="317"/>
      <c r="N60" s="317"/>
      <c r="O60" s="315"/>
      <c r="P60" s="313"/>
      <c r="Q60" s="313"/>
    </row>
    <row r="61" spans="1:17" ht="19.7" customHeight="1">
      <c r="A61" s="317">
        <v>58</v>
      </c>
      <c r="B61" s="313" t="s">
        <v>25</v>
      </c>
      <c r="C61" s="317">
        <v>5</v>
      </c>
      <c r="D61" s="317"/>
      <c r="E61" s="313" t="s">
        <v>15</v>
      </c>
      <c r="F61" s="318"/>
      <c r="G61" s="317"/>
      <c r="H61" s="317"/>
      <c r="I61" s="318"/>
      <c r="J61" s="317"/>
      <c r="K61" s="317"/>
      <c r="L61" s="318"/>
      <c r="M61" s="317"/>
      <c r="N61" s="317"/>
      <c r="O61" s="315"/>
      <c r="P61" s="313"/>
      <c r="Q61" s="313"/>
    </row>
    <row r="62" spans="1:17" ht="19.7" customHeight="1">
      <c r="A62" s="317">
        <v>59</v>
      </c>
      <c r="B62" s="313" t="s">
        <v>31</v>
      </c>
      <c r="C62" s="317">
        <v>5</v>
      </c>
      <c r="D62" s="317"/>
      <c r="E62" s="313" t="s">
        <v>14</v>
      </c>
      <c r="F62" s="315"/>
      <c r="G62" s="313"/>
      <c r="H62" s="313"/>
      <c r="I62" s="315"/>
      <c r="J62" s="313"/>
      <c r="K62" s="313"/>
      <c r="L62" s="315"/>
      <c r="M62" s="313"/>
      <c r="N62" s="313"/>
      <c r="O62" s="315"/>
      <c r="P62" s="313"/>
      <c r="Q62" s="313"/>
    </row>
    <row r="63" spans="1:17" ht="19.7" customHeight="1">
      <c r="A63" s="317">
        <v>60</v>
      </c>
      <c r="B63" s="313" t="s">
        <v>31</v>
      </c>
      <c r="C63" s="317">
        <v>5</v>
      </c>
      <c r="D63" s="317"/>
      <c r="E63" s="313" t="s">
        <v>15</v>
      </c>
      <c r="F63" s="315"/>
      <c r="G63" s="313"/>
      <c r="H63" s="313"/>
      <c r="I63" s="315"/>
      <c r="J63" s="313"/>
      <c r="K63" s="313"/>
      <c r="L63" s="315"/>
      <c r="M63" s="313"/>
      <c r="N63" s="313"/>
      <c r="O63" s="315"/>
      <c r="P63" s="313"/>
      <c r="Q63" s="313"/>
    </row>
    <row r="64" spans="1:17" ht="19.7" customHeight="1">
      <c r="A64" s="317">
        <v>61</v>
      </c>
      <c r="B64" s="313" t="s">
        <v>22</v>
      </c>
      <c r="C64" s="317">
        <v>5</v>
      </c>
      <c r="D64" s="317"/>
      <c r="E64" s="313" t="s">
        <v>14</v>
      </c>
      <c r="F64" s="318"/>
      <c r="G64" s="317"/>
      <c r="H64" s="317"/>
      <c r="I64" s="318"/>
      <c r="J64" s="317"/>
      <c r="K64" s="317"/>
      <c r="L64" s="318"/>
      <c r="M64" s="317"/>
      <c r="N64" s="317"/>
      <c r="O64" s="315"/>
      <c r="P64" s="313"/>
      <c r="Q64" s="313"/>
    </row>
    <row r="65" spans="1:17" ht="19.7" customHeight="1">
      <c r="A65" s="317">
        <v>62</v>
      </c>
      <c r="B65" s="313" t="s">
        <v>24</v>
      </c>
      <c r="C65" s="317">
        <v>5</v>
      </c>
      <c r="D65" s="317"/>
      <c r="E65" s="313" t="s">
        <v>14</v>
      </c>
      <c r="F65" s="318"/>
      <c r="G65" s="317"/>
      <c r="H65" s="317"/>
      <c r="I65" s="318"/>
      <c r="J65" s="317"/>
      <c r="K65" s="317"/>
      <c r="L65" s="318"/>
      <c r="M65" s="317"/>
      <c r="N65" s="317"/>
      <c r="O65" s="315"/>
      <c r="P65" s="313"/>
      <c r="Q65" s="313"/>
    </row>
    <row r="66" spans="1:17" ht="15.75">
      <c r="A66" s="317">
        <v>63</v>
      </c>
      <c r="B66" s="313" t="s">
        <v>27</v>
      </c>
      <c r="C66" s="317">
        <v>5</v>
      </c>
      <c r="D66" s="317"/>
      <c r="E66" s="313" t="s">
        <v>14</v>
      </c>
      <c r="F66" s="315"/>
      <c r="G66" s="313"/>
      <c r="H66" s="313"/>
      <c r="I66" s="315"/>
      <c r="J66" s="317"/>
      <c r="K66" s="317"/>
      <c r="L66" s="315"/>
      <c r="M66" s="313"/>
      <c r="N66" s="313"/>
      <c r="O66" s="315"/>
      <c r="P66" s="317"/>
      <c r="Q66" s="317"/>
    </row>
    <row r="67" spans="1:17" ht="15.75">
      <c r="A67" s="317">
        <v>64</v>
      </c>
      <c r="B67" s="313" t="s">
        <v>27</v>
      </c>
      <c r="C67" s="317">
        <v>5</v>
      </c>
      <c r="D67" s="317"/>
      <c r="E67" s="313" t="s">
        <v>15</v>
      </c>
      <c r="F67" s="315"/>
      <c r="G67" s="313"/>
      <c r="H67" s="313"/>
      <c r="I67" s="315"/>
      <c r="J67" s="317"/>
      <c r="K67" s="317"/>
      <c r="L67" s="315"/>
      <c r="M67" s="313"/>
      <c r="N67" s="313"/>
      <c r="O67" s="315"/>
      <c r="P67" s="317"/>
      <c r="Q67" s="317"/>
    </row>
    <row r="68" spans="1:17" ht="15.75">
      <c r="A68" s="317">
        <v>65</v>
      </c>
      <c r="B68" s="313" t="s">
        <v>73</v>
      </c>
      <c r="C68" s="317">
        <v>5</v>
      </c>
      <c r="D68" s="317"/>
      <c r="E68" s="313" t="s">
        <v>14</v>
      </c>
      <c r="F68" s="315"/>
      <c r="G68" s="313"/>
      <c r="H68" s="313"/>
      <c r="I68" s="315"/>
      <c r="J68" s="313"/>
      <c r="K68" s="313"/>
      <c r="L68" s="315"/>
      <c r="M68" s="313"/>
      <c r="N68" s="313"/>
      <c r="O68" s="315"/>
      <c r="P68" s="313"/>
      <c r="Q68" s="313"/>
    </row>
    <row r="69" spans="1:17" ht="15.75">
      <c r="A69" s="317">
        <v>66</v>
      </c>
      <c r="B69" s="313" t="s">
        <v>73</v>
      </c>
      <c r="C69" s="317">
        <v>5</v>
      </c>
      <c r="D69" s="317"/>
      <c r="E69" s="313" t="s">
        <v>15</v>
      </c>
      <c r="F69" s="315"/>
      <c r="G69" s="313"/>
      <c r="H69" s="313"/>
      <c r="I69" s="315"/>
      <c r="J69" s="313"/>
      <c r="K69" s="313"/>
      <c r="L69" s="315"/>
      <c r="M69" s="313"/>
      <c r="N69" s="313"/>
      <c r="O69" s="315"/>
      <c r="P69" s="313"/>
      <c r="Q69" s="313"/>
    </row>
    <row r="70" spans="1:17" ht="15.75">
      <c r="A70" s="317">
        <v>67</v>
      </c>
      <c r="B70" s="313" t="s">
        <v>72</v>
      </c>
      <c r="C70" s="317">
        <v>5</v>
      </c>
      <c r="D70" s="317"/>
      <c r="E70" s="313" t="s">
        <v>14</v>
      </c>
      <c r="F70" s="315"/>
      <c r="G70" s="317"/>
      <c r="H70" s="317"/>
      <c r="I70" s="315"/>
      <c r="J70" s="313"/>
      <c r="K70" s="313"/>
      <c r="L70" s="315"/>
      <c r="M70" s="313"/>
      <c r="N70" s="313"/>
      <c r="O70" s="315"/>
      <c r="P70" s="313"/>
      <c r="Q70" s="313"/>
    </row>
    <row r="71" spans="1:17" ht="15.75">
      <c r="A71" s="317">
        <v>68</v>
      </c>
      <c r="B71" s="313" t="s">
        <v>72</v>
      </c>
      <c r="C71" s="317">
        <v>5</v>
      </c>
      <c r="D71" s="317"/>
      <c r="E71" s="313" t="s">
        <v>15</v>
      </c>
      <c r="F71" s="315"/>
      <c r="G71" s="317"/>
      <c r="H71" s="317"/>
      <c r="I71" s="315"/>
      <c r="J71" s="313"/>
      <c r="K71" s="313"/>
      <c r="L71" s="315"/>
      <c r="M71" s="313"/>
      <c r="N71" s="313"/>
      <c r="O71" s="315"/>
      <c r="P71" s="313"/>
      <c r="Q71" s="313"/>
    </row>
    <row r="72" spans="1:17" ht="15.75">
      <c r="A72" s="317">
        <v>69</v>
      </c>
      <c r="B72" s="313" t="s">
        <v>26</v>
      </c>
      <c r="C72" s="317">
        <v>5</v>
      </c>
      <c r="D72" s="317"/>
      <c r="E72" s="313" t="s">
        <v>14</v>
      </c>
      <c r="F72" s="318"/>
      <c r="G72" s="317"/>
      <c r="H72" s="317"/>
      <c r="I72" s="318"/>
      <c r="J72" s="317"/>
      <c r="K72" s="317"/>
      <c r="L72" s="315"/>
      <c r="M72" s="313"/>
      <c r="N72" s="313"/>
      <c r="O72" s="315"/>
      <c r="P72" s="313"/>
      <c r="Q72" s="313"/>
    </row>
    <row r="73" spans="1:17" ht="19.7" customHeight="1">
      <c r="A73" s="317">
        <v>70</v>
      </c>
      <c r="B73" s="313" t="s">
        <v>19</v>
      </c>
      <c r="C73" s="317">
        <v>6</v>
      </c>
      <c r="D73" s="317"/>
      <c r="E73" s="313" t="s">
        <v>14</v>
      </c>
      <c r="F73" s="318"/>
      <c r="G73" s="317"/>
      <c r="H73" s="317"/>
      <c r="I73" s="318"/>
      <c r="J73" s="317"/>
      <c r="K73" s="317"/>
      <c r="L73" s="318"/>
      <c r="M73" s="317"/>
      <c r="N73" s="317"/>
      <c r="O73" s="315"/>
      <c r="P73" s="313"/>
      <c r="Q73" s="313"/>
    </row>
    <row r="74" spans="1:17" ht="19.7" customHeight="1">
      <c r="A74" s="317">
        <v>71</v>
      </c>
      <c r="B74" s="313" t="s">
        <v>19</v>
      </c>
      <c r="C74" s="317">
        <v>6</v>
      </c>
      <c r="D74" s="317"/>
      <c r="E74" s="313" t="s">
        <v>15</v>
      </c>
      <c r="F74" s="318"/>
      <c r="G74" s="317"/>
      <c r="H74" s="317"/>
      <c r="I74" s="318"/>
      <c r="J74" s="317"/>
      <c r="K74" s="317"/>
      <c r="L74" s="318"/>
      <c r="M74" s="317"/>
      <c r="N74" s="317"/>
      <c r="O74" s="315"/>
      <c r="P74" s="313"/>
      <c r="Q74" s="313"/>
    </row>
    <row r="75" spans="1:17" ht="19.7" customHeight="1">
      <c r="A75" s="317">
        <v>72</v>
      </c>
      <c r="B75" s="313" t="s">
        <v>20</v>
      </c>
      <c r="C75" s="317">
        <v>6</v>
      </c>
      <c r="D75" s="317"/>
      <c r="E75" s="313" t="s">
        <v>14</v>
      </c>
      <c r="F75" s="318"/>
      <c r="G75" s="317"/>
      <c r="H75" s="317"/>
      <c r="I75" s="315"/>
      <c r="J75" s="313"/>
      <c r="K75" s="313"/>
      <c r="L75" s="318"/>
      <c r="M75" s="317"/>
      <c r="N75" s="317"/>
      <c r="O75" s="315"/>
      <c r="P75" s="313"/>
      <c r="Q75" s="313"/>
    </row>
    <row r="76" spans="1:17" ht="19.7" customHeight="1">
      <c r="A76" s="317">
        <v>73</v>
      </c>
      <c r="B76" s="313" t="s">
        <v>20</v>
      </c>
      <c r="C76" s="317">
        <v>6</v>
      </c>
      <c r="D76" s="317"/>
      <c r="E76" s="313" t="s">
        <v>15</v>
      </c>
      <c r="F76" s="318"/>
      <c r="G76" s="317"/>
      <c r="H76" s="317"/>
      <c r="I76" s="315"/>
      <c r="J76" s="313"/>
      <c r="K76" s="313"/>
      <c r="L76" s="318"/>
      <c r="M76" s="317"/>
      <c r="N76" s="317"/>
      <c r="O76" s="315"/>
      <c r="P76" s="313"/>
      <c r="Q76" s="313"/>
    </row>
    <row r="77" spans="1:17" ht="19.7" customHeight="1">
      <c r="A77" s="317">
        <v>74</v>
      </c>
      <c r="B77" s="313" t="s">
        <v>28</v>
      </c>
      <c r="C77" s="317">
        <v>6</v>
      </c>
      <c r="D77" s="317"/>
      <c r="E77" s="313" t="s">
        <v>14</v>
      </c>
      <c r="F77" s="315"/>
      <c r="G77" s="313"/>
      <c r="H77" s="313"/>
      <c r="I77" s="318"/>
      <c r="J77" s="317"/>
      <c r="K77" s="317"/>
      <c r="L77" s="315"/>
      <c r="M77" s="313"/>
      <c r="N77" s="313"/>
      <c r="O77" s="315"/>
      <c r="P77" s="313"/>
      <c r="Q77" s="313"/>
    </row>
    <row r="78" spans="1:17" ht="19.7" customHeight="1">
      <c r="A78" s="317">
        <v>75</v>
      </c>
      <c r="B78" s="313" t="s">
        <v>28</v>
      </c>
      <c r="C78" s="317">
        <v>6</v>
      </c>
      <c r="D78" s="317"/>
      <c r="E78" s="313" t="s">
        <v>15</v>
      </c>
      <c r="F78" s="315"/>
      <c r="G78" s="313"/>
      <c r="H78" s="313"/>
      <c r="I78" s="318"/>
      <c r="J78" s="317"/>
      <c r="K78" s="317"/>
      <c r="L78" s="315"/>
      <c r="M78" s="313"/>
      <c r="N78" s="313"/>
      <c r="O78" s="315"/>
      <c r="P78" s="313"/>
      <c r="Q78" s="313"/>
    </row>
    <row r="79" spans="1:17" ht="19.7" customHeight="1">
      <c r="A79" s="317">
        <v>76</v>
      </c>
      <c r="B79" s="313" t="s">
        <v>29</v>
      </c>
      <c r="C79" s="317">
        <v>6</v>
      </c>
      <c r="D79" s="317"/>
      <c r="E79" s="313" t="s">
        <v>14</v>
      </c>
      <c r="F79" s="318"/>
      <c r="G79" s="317"/>
      <c r="H79" s="317"/>
      <c r="I79" s="318"/>
      <c r="J79" s="317"/>
      <c r="K79" s="317"/>
      <c r="L79" s="318"/>
      <c r="M79" s="317"/>
      <c r="N79" s="317"/>
      <c r="O79" s="315"/>
      <c r="P79" s="313"/>
      <c r="Q79" s="313"/>
    </row>
    <row r="80" spans="1:17" ht="19.7" customHeight="1">
      <c r="A80" s="317">
        <v>77</v>
      </c>
      <c r="B80" s="313" t="s">
        <v>29</v>
      </c>
      <c r="C80" s="317">
        <v>6</v>
      </c>
      <c r="D80" s="317"/>
      <c r="E80" s="313" t="s">
        <v>15</v>
      </c>
      <c r="F80" s="318"/>
      <c r="G80" s="317"/>
      <c r="H80" s="317"/>
      <c r="I80" s="318"/>
      <c r="J80" s="317"/>
      <c r="K80" s="317"/>
      <c r="L80" s="318"/>
      <c r="M80" s="317"/>
      <c r="N80" s="317"/>
      <c r="O80" s="315"/>
      <c r="P80" s="313"/>
      <c r="Q80" s="313"/>
    </row>
    <row r="81" spans="1:17" ht="19.7" customHeight="1">
      <c r="A81" s="317">
        <v>78</v>
      </c>
      <c r="B81" s="313" t="s">
        <v>25</v>
      </c>
      <c r="C81" s="317">
        <v>6</v>
      </c>
      <c r="D81" s="317"/>
      <c r="E81" s="313" t="s">
        <v>14</v>
      </c>
      <c r="F81" s="318"/>
      <c r="G81" s="317"/>
      <c r="H81" s="317"/>
      <c r="I81" s="318"/>
      <c r="J81" s="317"/>
      <c r="K81" s="317"/>
      <c r="L81" s="318"/>
      <c r="M81" s="317"/>
      <c r="N81" s="317"/>
      <c r="O81" s="315"/>
      <c r="P81" s="313"/>
      <c r="Q81" s="313"/>
    </row>
    <row r="82" spans="1:17" ht="19.7" customHeight="1">
      <c r="A82" s="317">
        <v>79</v>
      </c>
      <c r="B82" s="313" t="s">
        <v>25</v>
      </c>
      <c r="C82" s="317">
        <v>6</v>
      </c>
      <c r="D82" s="317"/>
      <c r="E82" s="313" t="s">
        <v>15</v>
      </c>
      <c r="F82" s="318"/>
      <c r="G82" s="317"/>
      <c r="H82" s="317"/>
      <c r="I82" s="318"/>
      <c r="J82" s="317"/>
      <c r="K82" s="317"/>
      <c r="L82" s="318"/>
      <c r="M82" s="317"/>
      <c r="N82" s="317"/>
      <c r="O82" s="315"/>
      <c r="P82" s="313"/>
      <c r="Q82" s="313"/>
    </row>
    <row r="83" spans="1:17" ht="19.7" customHeight="1">
      <c r="A83" s="317">
        <v>80</v>
      </c>
      <c r="B83" s="313" t="s">
        <v>22</v>
      </c>
      <c r="C83" s="317">
        <v>6</v>
      </c>
      <c r="D83" s="317"/>
      <c r="E83" s="313" t="s">
        <v>14</v>
      </c>
      <c r="F83" s="318"/>
      <c r="G83" s="317"/>
      <c r="H83" s="317"/>
      <c r="I83" s="318"/>
      <c r="J83" s="317"/>
      <c r="K83" s="317"/>
      <c r="L83" s="318"/>
      <c r="M83" s="317"/>
      <c r="N83" s="317"/>
      <c r="O83" s="315"/>
      <c r="P83" s="313"/>
      <c r="Q83" s="313"/>
    </row>
    <row r="84" spans="1:17" ht="15.75">
      <c r="A84" s="317">
        <v>81</v>
      </c>
      <c r="B84" s="313" t="s">
        <v>24</v>
      </c>
      <c r="C84" s="317">
        <v>6</v>
      </c>
      <c r="D84" s="317"/>
      <c r="E84" s="313" t="s">
        <v>14</v>
      </c>
      <c r="F84" s="318"/>
      <c r="G84" s="317"/>
      <c r="H84" s="317"/>
      <c r="I84" s="318"/>
      <c r="J84" s="317"/>
      <c r="K84" s="317"/>
      <c r="L84" s="318"/>
      <c r="M84" s="317"/>
      <c r="N84" s="317"/>
      <c r="O84" s="315"/>
      <c r="P84" s="313"/>
      <c r="Q84" s="313"/>
    </row>
    <row r="85" spans="1:17" ht="15.75">
      <c r="A85" s="317">
        <v>82</v>
      </c>
      <c r="B85" s="313" t="s">
        <v>27</v>
      </c>
      <c r="C85" s="317">
        <v>6</v>
      </c>
      <c r="D85" s="317"/>
      <c r="E85" s="313" t="s">
        <v>14</v>
      </c>
      <c r="F85" s="315"/>
      <c r="G85" s="317"/>
      <c r="H85" s="317"/>
      <c r="I85" s="315"/>
      <c r="J85" s="317"/>
      <c r="K85" s="317"/>
      <c r="L85" s="315"/>
      <c r="M85" s="313"/>
      <c r="N85" s="313"/>
      <c r="O85" s="315"/>
      <c r="P85" s="317"/>
      <c r="Q85" s="317"/>
    </row>
    <row r="86" spans="1:17" ht="15.75">
      <c r="A86" s="317">
        <v>83</v>
      </c>
      <c r="B86" s="313" t="s">
        <v>27</v>
      </c>
      <c r="C86" s="317">
        <v>6</v>
      </c>
      <c r="D86" s="317"/>
      <c r="E86" s="313" t="s">
        <v>15</v>
      </c>
      <c r="F86" s="315"/>
      <c r="G86" s="317"/>
      <c r="H86" s="317"/>
      <c r="I86" s="315"/>
      <c r="J86" s="317"/>
      <c r="K86" s="317"/>
      <c r="L86" s="315"/>
      <c r="M86" s="313"/>
      <c r="N86" s="313"/>
      <c r="O86" s="315"/>
      <c r="P86" s="317"/>
      <c r="Q86" s="317"/>
    </row>
    <row r="87" spans="1:17" ht="15.75">
      <c r="A87" s="317">
        <v>84</v>
      </c>
      <c r="B87" s="313" t="s">
        <v>74</v>
      </c>
      <c r="C87" s="317">
        <v>6</v>
      </c>
      <c r="D87" s="317"/>
      <c r="E87" s="313" t="s">
        <v>14</v>
      </c>
      <c r="F87" s="315"/>
      <c r="G87" s="313"/>
      <c r="H87" s="313"/>
      <c r="I87" s="315"/>
      <c r="J87" s="313"/>
      <c r="K87" s="313"/>
      <c r="L87" s="315"/>
      <c r="M87" s="313"/>
      <c r="N87" s="313"/>
      <c r="O87" s="315"/>
      <c r="P87" s="313"/>
      <c r="Q87" s="313"/>
    </row>
    <row r="88" spans="1:17" ht="15.75">
      <c r="A88" s="317">
        <v>85</v>
      </c>
      <c r="B88" s="313" t="s">
        <v>74</v>
      </c>
      <c r="C88" s="317">
        <v>6</v>
      </c>
      <c r="D88" s="317"/>
      <c r="E88" s="313" t="s">
        <v>15</v>
      </c>
      <c r="F88" s="315"/>
      <c r="G88" s="313"/>
      <c r="H88" s="313"/>
      <c r="I88" s="315"/>
      <c r="J88" s="313"/>
      <c r="K88" s="313"/>
      <c r="L88" s="315"/>
      <c r="M88" s="313"/>
      <c r="N88" s="313"/>
      <c r="O88" s="315"/>
      <c r="P88" s="313"/>
      <c r="Q88" s="313"/>
    </row>
    <row r="89" spans="1:17" ht="15.75">
      <c r="A89" s="317">
        <v>86</v>
      </c>
      <c r="B89" s="313" t="s">
        <v>73</v>
      </c>
      <c r="C89" s="317">
        <v>6</v>
      </c>
      <c r="D89" s="317"/>
      <c r="E89" s="313" t="s">
        <v>14</v>
      </c>
      <c r="F89" s="315"/>
      <c r="G89" s="317"/>
      <c r="H89" s="317"/>
      <c r="I89" s="315"/>
      <c r="J89" s="313"/>
      <c r="K89" s="313"/>
      <c r="L89" s="315"/>
      <c r="M89" s="313"/>
      <c r="N89" s="313"/>
      <c r="O89" s="315"/>
      <c r="P89" s="317"/>
      <c r="Q89" s="317"/>
    </row>
    <row r="90" spans="1:17" ht="15.75">
      <c r="A90" s="317">
        <v>87</v>
      </c>
      <c r="B90" s="313" t="s">
        <v>73</v>
      </c>
      <c r="C90" s="317">
        <v>6</v>
      </c>
      <c r="D90" s="317"/>
      <c r="E90" s="313" t="s">
        <v>15</v>
      </c>
      <c r="F90" s="315"/>
      <c r="G90" s="317"/>
      <c r="H90" s="317"/>
      <c r="I90" s="315"/>
      <c r="J90" s="313"/>
      <c r="K90" s="313"/>
      <c r="L90" s="315"/>
      <c r="M90" s="313"/>
      <c r="N90" s="313"/>
      <c r="O90" s="315"/>
      <c r="P90" s="317"/>
      <c r="Q90" s="317"/>
    </row>
    <row r="91" spans="1:17" ht="15.75">
      <c r="A91" s="317">
        <v>88</v>
      </c>
      <c r="B91" s="313" t="s">
        <v>30</v>
      </c>
      <c r="C91" s="317">
        <v>6</v>
      </c>
      <c r="D91" s="317"/>
      <c r="E91" s="313" t="s">
        <v>14</v>
      </c>
      <c r="F91" s="318"/>
      <c r="G91" s="317"/>
      <c r="H91" s="317"/>
      <c r="I91" s="318"/>
      <c r="J91" s="317"/>
      <c r="K91" s="317"/>
      <c r="L91" s="318"/>
      <c r="M91" s="317"/>
      <c r="N91" s="317"/>
      <c r="O91" s="315"/>
      <c r="P91" s="313"/>
      <c r="Q91" s="313"/>
    </row>
  </sheetData>
  <mergeCells count="6">
    <mergeCell ref="A1:Q1"/>
    <mergeCell ref="F2:H2"/>
    <mergeCell ref="I2:K2"/>
    <mergeCell ref="L2:N2"/>
    <mergeCell ref="O2:Q2"/>
    <mergeCell ref="A2:E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5"/>
  <dimension ref="A1:DN42"/>
  <sheetViews>
    <sheetView workbookViewId="0"/>
  </sheetViews>
  <sheetFormatPr defaultRowHeight="14.25"/>
  <sheetData>
    <row r="1" spans="1:118" s="20" customFormat="1" ht="29.45" customHeight="1">
      <c r="A1" s="19">
        <v>1</v>
      </c>
      <c r="B1" s="19">
        <v>2</v>
      </c>
      <c r="C1" s="19">
        <v>3</v>
      </c>
      <c r="D1" s="19">
        <v>4</v>
      </c>
      <c r="E1" s="19">
        <v>5</v>
      </c>
      <c r="F1" s="19">
        <v>6</v>
      </c>
      <c r="G1" s="19">
        <v>7</v>
      </c>
      <c r="H1" s="19">
        <v>8</v>
      </c>
      <c r="I1" s="19">
        <v>9</v>
      </c>
      <c r="J1" s="19">
        <v>10</v>
      </c>
      <c r="K1" s="19">
        <v>11</v>
      </c>
      <c r="L1" s="19">
        <v>12</v>
      </c>
      <c r="M1" s="19">
        <v>13</v>
      </c>
      <c r="N1" s="19">
        <v>14</v>
      </c>
      <c r="O1" s="19">
        <v>15</v>
      </c>
      <c r="P1" s="19">
        <v>16</v>
      </c>
      <c r="Q1" s="19">
        <v>17</v>
      </c>
      <c r="R1" s="19">
        <v>18</v>
      </c>
      <c r="S1" s="19">
        <v>19</v>
      </c>
      <c r="T1" s="19">
        <v>20</v>
      </c>
      <c r="U1" s="19">
        <v>21</v>
      </c>
      <c r="V1" s="19">
        <v>22</v>
      </c>
      <c r="W1" s="19">
        <v>23</v>
      </c>
      <c r="X1" s="19">
        <v>24</v>
      </c>
      <c r="Y1" s="19">
        <v>25</v>
      </c>
      <c r="Z1" s="19">
        <v>26</v>
      </c>
      <c r="AA1" s="19">
        <v>27</v>
      </c>
      <c r="AB1" s="19">
        <v>28</v>
      </c>
      <c r="AC1" s="19">
        <v>29</v>
      </c>
      <c r="AD1" s="19">
        <v>30</v>
      </c>
      <c r="AE1" s="19">
        <v>31</v>
      </c>
      <c r="AF1" s="19">
        <v>32</v>
      </c>
      <c r="AG1" s="19">
        <v>33</v>
      </c>
      <c r="AH1" s="19">
        <v>34</v>
      </c>
      <c r="AI1" s="19">
        <v>35</v>
      </c>
      <c r="AJ1" s="19">
        <v>36</v>
      </c>
      <c r="AK1" s="19">
        <v>37</v>
      </c>
      <c r="AL1" s="19">
        <v>38</v>
      </c>
      <c r="AM1" s="19">
        <v>39</v>
      </c>
      <c r="AN1" s="19">
        <v>40</v>
      </c>
      <c r="AO1" s="19">
        <v>41</v>
      </c>
      <c r="AP1" s="19">
        <v>42</v>
      </c>
      <c r="AQ1" s="19">
        <v>43</v>
      </c>
      <c r="AR1" s="19">
        <v>44</v>
      </c>
      <c r="AS1" s="19">
        <v>45</v>
      </c>
      <c r="AT1" s="19">
        <v>46</v>
      </c>
      <c r="AU1" s="19">
        <v>47</v>
      </c>
      <c r="AV1" s="19">
        <v>48</v>
      </c>
      <c r="AW1" s="19">
        <v>49</v>
      </c>
      <c r="AX1" s="19">
        <v>50</v>
      </c>
      <c r="AY1" s="19">
        <v>51</v>
      </c>
      <c r="AZ1" s="19">
        <v>52</v>
      </c>
      <c r="BA1" s="19">
        <v>53</v>
      </c>
      <c r="BB1" s="19">
        <v>54</v>
      </c>
      <c r="BC1" s="19">
        <v>55</v>
      </c>
      <c r="BD1" s="19">
        <v>56</v>
      </c>
      <c r="BE1" s="19">
        <v>57</v>
      </c>
      <c r="BF1" s="19">
        <v>58</v>
      </c>
      <c r="BG1" s="19">
        <v>59</v>
      </c>
      <c r="BH1" s="19">
        <v>1</v>
      </c>
      <c r="BI1" s="19">
        <v>2</v>
      </c>
      <c r="BJ1" s="19">
        <v>3</v>
      </c>
      <c r="BK1" s="19">
        <v>4</v>
      </c>
      <c r="BL1" s="19">
        <v>5</v>
      </c>
      <c r="BM1" s="19">
        <v>6</v>
      </c>
      <c r="BN1" s="19">
        <v>7</v>
      </c>
      <c r="BO1" s="19">
        <v>8</v>
      </c>
      <c r="BP1" s="19">
        <v>9</v>
      </c>
      <c r="BQ1" s="19">
        <v>10</v>
      </c>
      <c r="BR1" s="19">
        <v>11</v>
      </c>
      <c r="BS1" s="19">
        <v>12</v>
      </c>
      <c r="BT1" s="19">
        <v>13</v>
      </c>
      <c r="BU1" s="19">
        <v>14</v>
      </c>
      <c r="BV1" s="19">
        <v>15</v>
      </c>
      <c r="BW1" s="19">
        <v>16</v>
      </c>
      <c r="BX1" s="19">
        <v>17</v>
      </c>
      <c r="BY1" s="19">
        <v>18</v>
      </c>
      <c r="BZ1" s="19">
        <v>19</v>
      </c>
      <c r="CA1" s="19">
        <v>20</v>
      </c>
      <c r="CB1" s="19">
        <v>21</v>
      </c>
      <c r="CC1" s="19">
        <v>22</v>
      </c>
      <c r="CD1" s="19">
        <v>23</v>
      </c>
      <c r="CE1" s="19">
        <v>24</v>
      </c>
      <c r="CF1" s="19">
        <v>25</v>
      </c>
      <c r="CG1" s="19">
        <v>26</v>
      </c>
      <c r="CH1" s="19">
        <v>27</v>
      </c>
      <c r="CI1" s="19">
        <v>28</v>
      </c>
      <c r="CJ1" s="19">
        <v>29</v>
      </c>
      <c r="CK1" s="19">
        <v>30</v>
      </c>
      <c r="CL1" s="19">
        <v>31</v>
      </c>
      <c r="CM1" s="19">
        <v>32</v>
      </c>
      <c r="CN1" s="19">
        <v>33</v>
      </c>
      <c r="CO1" s="19">
        <v>34</v>
      </c>
      <c r="CP1" s="19">
        <v>35</v>
      </c>
      <c r="CQ1" s="19">
        <v>36</v>
      </c>
      <c r="CR1" s="19">
        <v>37</v>
      </c>
      <c r="CS1" s="19">
        <v>38</v>
      </c>
      <c r="CT1" s="19">
        <v>39</v>
      </c>
      <c r="CU1" s="19">
        <v>40</v>
      </c>
      <c r="CV1" s="19">
        <v>41</v>
      </c>
      <c r="CW1" s="19">
        <v>42</v>
      </c>
      <c r="CX1" s="19">
        <v>43</v>
      </c>
      <c r="CY1" s="19">
        <v>44</v>
      </c>
      <c r="CZ1" s="19">
        <v>45</v>
      </c>
      <c r="DA1" s="19">
        <v>46</v>
      </c>
      <c r="DB1" s="19">
        <v>47</v>
      </c>
      <c r="DC1" s="19">
        <v>48</v>
      </c>
      <c r="DD1" s="19">
        <v>49</v>
      </c>
      <c r="DE1" s="19">
        <v>50</v>
      </c>
      <c r="DF1" s="19">
        <v>51</v>
      </c>
      <c r="DG1" s="19">
        <v>52</v>
      </c>
      <c r="DH1" s="19">
        <v>53</v>
      </c>
      <c r="DI1" s="19">
        <v>54</v>
      </c>
      <c r="DJ1" s="19">
        <v>55</v>
      </c>
      <c r="DK1" s="19">
        <v>56</v>
      </c>
      <c r="DL1" s="19">
        <v>57</v>
      </c>
      <c r="DM1" s="19">
        <v>58</v>
      </c>
      <c r="DN1" s="19">
        <v>59</v>
      </c>
    </row>
    <row r="2" spans="1:118" ht="33">
      <c r="A2" s="15" t="s">
        <v>34</v>
      </c>
      <c r="B2" s="24" t="s">
        <v>21</v>
      </c>
      <c r="C2" s="24" t="s">
        <v>21</v>
      </c>
      <c r="D2" s="24" t="s">
        <v>49</v>
      </c>
      <c r="E2" s="24" t="s">
        <v>49</v>
      </c>
      <c r="F2" s="24" t="s">
        <v>20</v>
      </c>
      <c r="G2" s="24" t="s">
        <v>20</v>
      </c>
      <c r="H2" s="70" t="s">
        <v>22</v>
      </c>
      <c r="I2" s="24" t="s">
        <v>21</v>
      </c>
      <c r="J2" s="24" t="s">
        <v>21</v>
      </c>
      <c r="K2" s="24" t="s">
        <v>49</v>
      </c>
      <c r="L2" s="24" t="s">
        <v>49</v>
      </c>
      <c r="M2" s="24" t="s">
        <v>20</v>
      </c>
      <c r="N2" s="24" t="s">
        <v>20</v>
      </c>
      <c r="O2" s="70" t="s">
        <v>22</v>
      </c>
      <c r="P2" s="24" t="s">
        <v>19</v>
      </c>
      <c r="Q2" s="24" t="s">
        <v>19</v>
      </c>
      <c r="R2" s="24" t="s">
        <v>20</v>
      </c>
      <c r="S2" s="24" t="s">
        <v>20</v>
      </c>
      <c r="T2" s="24" t="s">
        <v>23</v>
      </c>
      <c r="U2" s="24" t="s">
        <v>23</v>
      </c>
      <c r="V2" s="24" t="s">
        <v>25</v>
      </c>
      <c r="W2" s="24" t="s">
        <v>25</v>
      </c>
      <c r="X2" s="70" t="s">
        <v>22</v>
      </c>
      <c r="Y2" s="70" t="s">
        <v>24</v>
      </c>
      <c r="Z2" s="70" t="s">
        <v>26</v>
      </c>
      <c r="AA2" s="24" t="s">
        <v>19</v>
      </c>
      <c r="AB2" s="24" t="s">
        <v>19</v>
      </c>
      <c r="AC2" s="24" t="s">
        <v>20</v>
      </c>
      <c r="AD2" s="24" t="s">
        <v>20</v>
      </c>
      <c r="AE2" s="24" t="s">
        <v>23</v>
      </c>
      <c r="AF2" s="24" t="s">
        <v>23</v>
      </c>
      <c r="AG2" s="24" t="s">
        <v>25</v>
      </c>
      <c r="AH2" s="24" t="s">
        <v>25</v>
      </c>
      <c r="AI2" s="70" t="s">
        <v>22</v>
      </c>
      <c r="AJ2" s="70" t="s">
        <v>24</v>
      </c>
      <c r="AK2" s="70" t="s">
        <v>26</v>
      </c>
      <c r="AL2" s="24" t="s">
        <v>19</v>
      </c>
      <c r="AM2" s="24" t="s">
        <v>19</v>
      </c>
      <c r="AN2" s="24" t="s">
        <v>20</v>
      </c>
      <c r="AO2" s="24" t="s">
        <v>20</v>
      </c>
      <c r="AP2" s="24" t="s">
        <v>23</v>
      </c>
      <c r="AQ2" s="24" t="s">
        <v>23</v>
      </c>
      <c r="AR2" s="24" t="s">
        <v>51</v>
      </c>
      <c r="AS2" s="24" t="s">
        <v>51</v>
      </c>
      <c r="AT2" s="70" t="s">
        <v>22</v>
      </c>
      <c r="AU2" s="70" t="s">
        <v>24</v>
      </c>
      <c r="AV2" s="70" t="s">
        <v>256</v>
      </c>
      <c r="AW2" s="24" t="s">
        <v>19</v>
      </c>
      <c r="AX2" s="24" t="s">
        <v>19</v>
      </c>
      <c r="AY2" s="24" t="s">
        <v>20</v>
      </c>
      <c r="AZ2" s="24" t="s">
        <v>20</v>
      </c>
      <c r="BA2" s="24" t="s">
        <v>23</v>
      </c>
      <c r="BB2" s="24" t="s">
        <v>23</v>
      </c>
      <c r="BC2" s="24" t="s">
        <v>51</v>
      </c>
      <c r="BD2" s="24" t="s">
        <v>51</v>
      </c>
      <c r="BE2" s="70" t="s">
        <v>22</v>
      </c>
      <c r="BF2" s="70" t="s">
        <v>24</v>
      </c>
      <c r="BG2" s="70" t="s">
        <v>256</v>
      </c>
      <c r="BH2" s="62" t="s">
        <v>34</v>
      </c>
      <c r="BI2" s="55" t="s">
        <v>21</v>
      </c>
      <c r="BJ2" s="55" t="s">
        <v>21</v>
      </c>
      <c r="BK2" s="55" t="s">
        <v>49</v>
      </c>
      <c r="BL2" s="55" t="s">
        <v>49</v>
      </c>
      <c r="BM2" s="55" t="s">
        <v>20</v>
      </c>
      <c r="BN2" s="55" t="s">
        <v>20</v>
      </c>
      <c r="BO2" s="55" t="s">
        <v>22</v>
      </c>
      <c r="BP2" s="55" t="s">
        <v>21</v>
      </c>
      <c r="BQ2" s="55" t="s">
        <v>21</v>
      </c>
      <c r="BR2" s="55" t="s">
        <v>49</v>
      </c>
      <c r="BS2" s="55" t="s">
        <v>49</v>
      </c>
      <c r="BT2" s="55" t="s">
        <v>20</v>
      </c>
      <c r="BU2" s="55" t="s">
        <v>20</v>
      </c>
      <c r="BV2" s="55" t="s">
        <v>22</v>
      </c>
      <c r="BW2" s="55" t="s">
        <v>19</v>
      </c>
      <c r="BX2" s="55" t="s">
        <v>19</v>
      </c>
      <c r="BY2" s="55" t="s">
        <v>20</v>
      </c>
      <c r="BZ2" s="55" t="s">
        <v>20</v>
      </c>
      <c r="CA2" s="55" t="s">
        <v>23</v>
      </c>
      <c r="CB2" s="55" t="s">
        <v>23</v>
      </c>
      <c r="CC2" s="55" t="s">
        <v>25</v>
      </c>
      <c r="CD2" s="55" t="s">
        <v>25</v>
      </c>
      <c r="CE2" s="55" t="s">
        <v>22</v>
      </c>
      <c r="CF2" s="55" t="s">
        <v>24</v>
      </c>
      <c r="CG2" s="55" t="s">
        <v>26</v>
      </c>
      <c r="CH2" s="55" t="s">
        <v>19</v>
      </c>
      <c r="CI2" s="55" t="s">
        <v>19</v>
      </c>
      <c r="CJ2" s="55" t="s">
        <v>20</v>
      </c>
      <c r="CK2" s="55" t="s">
        <v>20</v>
      </c>
      <c r="CL2" s="55" t="s">
        <v>23</v>
      </c>
      <c r="CM2" s="55" t="s">
        <v>23</v>
      </c>
      <c r="CN2" s="55" t="s">
        <v>25</v>
      </c>
      <c r="CO2" s="55" t="s">
        <v>25</v>
      </c>
      <c r="CP2" s="55" t="s">
        <v>22</v>
      </c>
      <c r="CQ2" s="55" t="s">
        <v>24</v>
      </c>
      <c r="CR2" s="55" t="s">
        <v>26</v>
      </c>
      <c r="CS2" s="55" t="s">
        <v>19</v>
      </c>
      <c r="CT2" s="55" t="s">
        <v>19</v>
      </c>
      <c r="CU2" s="55" t="s">
        <v>20</v>
      </c>
      <c r="CV2" s="55" t="s">
        <v>20</v>
      </c>
      <c r="CW2" s="55" t="s">
        <v>23</v>
      </c>
      <c r="CX2" s="55" t="s">
        <v>23</v>
      </c>
      <c r="CY2" s="55" t="s">
        <v>51</v>
      </c>
      <c r="CZ2" s="55" t="s">
        <v>51</v>
      </c>
      <c r="DA2" s="55" t="s">
        <v>22</v>
      </c>
      <c r="DB2" s="55" t="s">
        <v>24</v>
      </c>
      <c r="DC2" s="55" t="s">
        <v>256</v>
      </c>
      <c r="DD2" s="55" t="s">
        <v>19</v>
      </c>
      <c r="DE2" s="55" t="s">
        <v>19</v>
      </c>
      <c r="DF2" s="55" t="s">
        <v>20</v>
      </c>
      <c r="DG2" s="55" t="s">
        <v>20</v>
      </c>
      <c r="DH2" s="55" t="s">
        <v>23</v>
      </c>
      <c r="DI2" s="55" t="s">
        <v>23</v>
      </c>
      <c r="DJ2" s="55" t="s">
        <v>51</v>
      </c>
      <c r="DK2" s="55" t="s">
        <v>51</v>
      </c>
      <c r="DL2" s="55" t="s">
        <v>22</v>
      </c>
      <c r="DM2" s="55" t="s">
        <v>24</v>
      </c>
      <c r="DN2" s="55" t="s">
        <v>256</v>
      </c>
    </row>
    <row r="3" spans="1:118" ht="33">
      <c r="A3" s="11" t="s">
        <v>35</v>
      </c>
      <c r="B3" s="25">
        <v>1</v>
      </c>
      <c r="C3" s="26">
        <v>1</v>
      </c>
      <c r="D3" s="26">
        <v>1</v>
      </c>
      <c r="E3" s="26">
        <v>1</v>
      </c>
      <c r="F3" s="26">
        <v>1</v>
      </c>
      <c r="G3" s="26">
        <v>1</v>
      </c>
      <c r="H3" s="26">
        <v>1</v>
      </c>
      <c r="I3" s="26">
        <v>2</v>
      </c>
      <c r="J3" s="26">
        <v>2</v>
      </c>
      <c r="K3" s="26">
        <v>2</v>
      </c>
      <c r="L3" s="26">
        <v>2</v>
      </c>
      <c r="M3" s="26">
        <v>2</v>
      </c>
      <c r="N3" s="26">
        <v>2</v>
      </c>
      <c r="O3" s="26">
        <v>2</v>
      </c>
      <c r="P3" s="26">
        <v>3</v>
      </c>
      <c r="Q3" s="26">
        <v>3</v>
      </c>
      <c r="R3" s="26">
        <v>3</v>
      </c>
      <c r="S3" s="26">
        <v>3</v>
      </c>
      <c r="T3" s="26">
        <v>3</v>
      </c>
      <c r="U3" s="26">
        <v>3</v>
      </c>
      <c r="V3" s="26">
        <v>3</v>
      </c>
      <c r="W3" s="26">
        <v>3</v>
      </c>
      <c r="X3" s="26">
        <v>3</v>
      </c>
      <c r="Y3" s="26">
        <v>3</v>
      </c>
      <c r="Z3" s="26">
        <v>3</v>
      </c>
      <c r="AA3" s="26">
        <v>4</v>
      </c>
      <c r="AB3" s="26">
        <v>4</v>
      </c>
      <c r="AC3" s="26">
        <v>4</v>
      </c>
      <c r="AD3" s="26">
        <v>4</v>
      </c>
      <c r="AE3" s="26">
        <v>4</v>
      </c>
      <c r="AF3" s="26">
        <v>4</v>
      </c>
      <c r="AG3" s="26">
        <v>4</v>
      </c>
      <c r="AH3" s="26">
        <v>4</v>
      </c>
      <c r="AI3" s="26">
        <v>4</v>
      </c>
      <c r="AJ3" s="26">
        <v>4</v>
      </c>
      <c r="AK3" s="26">
        <v>4</v>
      </c>
      <c r="AL3" s="26">
        <v>5</v>
      </c>
      <c r="AM3" s="26">
        <v>5</v>
      </c>
      <c r="AN3" s="26">
        <v>5</v>
      </c>
      <c r="AO3" s="26">
        <v>5</v>
      </c>
      <c r="AP3" s="26">
        <v>5</v>
      </c>
      <c r="AQ3" s="26">
        <v>5</v>
      </c>
      <c r="AR3" s="26">
        <v>5</v>
      </c>
      <c r="AS3" s="26">
        <v>5</v>
      </c>
      <c r="AT3" s="26">
        <v>5</v>
      </c>
      <c r="AU3" s="26">
        <v>5</v>
      </c>
      <c r="AV3" s="26">
        <v>5</v>
      </c>
      <c r="AW3" s="26">
        <v>6</v>
      </c>
      <c r="AX3" s="26">
        <v>6</v>
      </c>
      <c r="AY3" s="26">
        <v>6</v>
      </c>
      <c r="AZ3" s="26">
        <v>6</v>
      </c>
      <c r="BA3" s="26">
        <v>6</v>
      </c>
      <c r="BB3" s="26">
        <v>6</v>
      </c>
      <c r="BC3" s="26">
        <v>6</v>
      </c>
      <c r="BD3" s="26">
        <v>6</v>
      </c>
      <c r="BE3" s="26">
        <v>6</v>
      </c>
      <c r="BF3" s="26">
        <v>6</v>
      </c>
      <c r="BG3" s="26">
        <v>6</v>
      </c>
      <c r="BH3" s="109" t="s">
        <v>35</v>
      </c>
      <c r="BI3" s="56">
        <v>1</v>
      </c>
      <c r="BJ3" s="57">
        <v>1</v>
      </c>
      <c r="BK3" s="57">
        <v>1</v>
      </c>
      <c r="BL3" s="57">
        <v>1</v>
      </c>
      <c r="BM3" s="57">
        <v>1</v>
      </c>
      <c r="BN3" s="57">
        <v>1</v>
      </c>
      <c r="BO3" s="57">
        <v>1</v>
      </c>
      <c r="BP3" s="57">
        <v>2</v>
      </c>
      <c r="BQ3" s="57">
        <v>2</v>
      </c>
      <c r="BR3" s="57">
        <v>2</v>
      </c>
      <c r="BS3" s="57">
        <v>2</v>
      </c>
      <c r="BT3" s="57">
        <v>2</v>
      </c>
      <c r="BU3" s="57">
        <v>2</v>
      </c>
      <c r="BV3" s="57">
        <v>2</v>
      </c>
      <c r="BW3" s="57">
        <v>3</v>
      </c>
      <c r="BX3" s="57">
        <v>3</v>
      </c>
      <c r="BY3" s="57">
        <v>3</v>
      </c>
      <c r="BZ3" s="57">
        <v>3</v>
      </c>
      <c r="CA3" s="57">
        <v>3</v>
      </c>
      <c r="CB3" s="57">
        <v>3</v>
      </c>
      <c r="CC3" s="57">
        <v>3</v>
      </c>
      <c r="CD3" s="57">
        <v>3</v>
      </c>
      <c r="CE3" s="57">
        <v>3</v>
      </c>
      <c r="CF3" s="57">
        <v>3</v>
      </c>
      <c r="CG3" s="57">
        <v>3</v>
      </c>
      <c r="CH3" s="57">
        <v>4</v>
      </c>
      <c r="CI3" s="57">
        <v>4</v>
      </c>
      <c r="CJ3" s="57">
        <v>4</v>
      </c>
      <c r="CK3" s="57">
        <v>4</v>
      </c>
      <c r="CL3" s="57">
        <v>4</v>
      </c>
      <c r="CM3" s="57">
        <v>4</v>
      </c>
      <c r="CN3" s="57">
        <v>4</v>
      </c>
      <c r="CO3" s="57">
        <v>4</v>
      </c>
      <c r="CP3" s="57">
        <v>4</v>
      </c>
      <c r="CQ3" s="57">
        <v>4</v>
      </c>
      <c r="CR3" s="57">
        <v>4</v>
      </c>
      <c r="CS3" s="57">
        <v>5</v>
      </c>
      <c r="CT3" s="57">
        <v>5</v>
      </c>
      <c r="CU3" s="57">
        <v>5</v>
      </c>
      <c r="CV3" s="57">
        <v>5</v>
      </c>
      <c r="CW3" s="57">
        <v>5</v>
      </c>
      <c r="CX3" s="57">
        <v>5</v>
      </c>
      <c r="CY3" s="57">
        <v>5</v>
      </c>
      <c r="CZ3" s="57">
        <v>5</v>
      </c>
      <c r="DA3" s="57">
        <v>5</v>
      </c>
      <c r="DB3" s="57">
        <v>5</v>
      </c>
      <c r="DC3" s="57">
        <v>5</v>
      </c>
      <c r="DD3" s="57">
        <v>6</v>
      </c>
      <c r="DE3" s="57">
        <v>6</v>
      </c>
      <c r="DF3" s="57">
        <v>6</v>
      </c>
      <c r="DG3" s="57">
        <v>6</v>
      </c>
      <c r="DH3" s="57">
        <v>6</v>
      </c>
      <c r="DI3" s="57">
        <v>6</v>
      </c>
      <c r="DJ3" s="57">
        <v>6</v>
      </c>
      <c r="DK3" s="57">
        <v>6</v>
      </c>
      <c r="DL3" s="57">
        <v>6</v>
      </c>
      <c r="DM3" s="57">
        <v>6</v>
      </c>
      <c r="DN3" s="57">
        <v>6</v>
      </c>
    </row>
    <row r="4" spans="1:118" ht="16.5">
      <c r="A4" s="10" t="s">
        <v>17</v>
      </c>
      <c r="B4" s="23" t="s">
        <v>14</v>
      </c>
      <c r="C4" s="24" t="s">
        <v>15</v>
      </c>
      <c r="D4" s="24" t="s">
        <v>14</v>
      </c>
      <c r="E4" s="24" t="s">
        <v>15</v>
      </c>
      <c r="F4" s="24" t="s">
        <v>14</v>
      </c>
      <c r="G4" s="24" t="s">
        <v>15</v>
      </c>
      <c r="H4" s="24" t="s">
        <v>14</v>
      </c>
      <c r="I4" s="24" t="s">
        <v>14</v>
      </c>
      <c r="J4" s="24" t="s">
        <v>15</v>
      </c>
      <c r="K4" s="24" t="s">
        <v>14</v>
      </c>
      <c r="L4" s="24" t="s">
        <v>15</v>
      </c>
      <c r="M4" s="24" t="s">
        <v>14</v>
      </c>
      <c r="N4" s="24" t="s">
        <v>15</v>
      </c>
      <c r="O4" s="24" t="s">
        <v>14</v>
      </c>
      <c r="P4" s="24" t="s">
        <v>14</v>
      </c>
      <c r="Q4" s="24" t="s">
        <v>15</v>
      </c>
      <c r="R4" s="24" t="s">
        <v>14</v>
      </c>
      <c r="S4" s="24" t="s">
        <v>15</v>
      </c>
      <c r="T4" s="24" t="s">
        <v>14</v>
      </c>
      <c r="U4" s="24" t="s">
        <v>15</v>
      </c>
      <c r="V4" s="24" t="s">
        <v>14</v>
      </c>
      <c r="W4" s="24" t="s">
        <v>15</v>
      </c>
      <c r="X4" s="24" t="s">
        <v>14</v>
      </c>
      <c r="Y4" s="24" t="s">
        <v>14</v>
      </c>
      <c r="Z4" s="24" t="s">
        <v>14</v>
      </c>
      <c r="AA4" s="24" t="s">
        <v>14</v>
      </c>
      <c r="AB4" s="24" t="s">
        <v>15</v>
      </c>
      <c r="AC4" s="24" t="s">
        <v>14</v>
      </c>
      <c r="AD4" s="24" t="s">
        <v>15</v>
      </c>
      <c r="AE4" s="24" t="s">
        <v>14</v>
      </c>
      <c r="AF4" s="24" t="s">
        <v>15</v>
      </c>
      <c r="AG4" s="24" t="s">
        <v>14</v>
      </c>
      <c r="AH4" s="24" t="s">
        <v>15</v>
      </c>
      <c r="AI4" s="24" t="s">
        <v>14</v>
      </c>
      <c r="AJ4" s="24" t="s">
        <v>14</v>
      </c>
      <c r="AK4" s="24" t="s">
        <v>14</v>
      </c>
      <c r="AL4" s="24" t="s">
        <v>14</v>
      </c>
      <c r="AM4" s="24" t="s">
        <v>15</v>
      </c>
      <c r="AN4" s="24" t="s">
        <v>14</v>
      </c>
      <c r="AO4" s="24" t="s">
        <v>15</v>
      </c>
      <c r="AP4" s="24" t="s">
        <v>14</v>
      </c>
      <c r="AQ4" s="24" t="s">
        <v>15</v>
      </c>
      <c r="AR4" s="24" t="s">
        <v>14</v>
      </c>
      <c r="AS4" s="24" t="s">
        <v>15</v>
      </c>
      <c r="AT4" s="24" t="s">
        <v>14</v>
      </c>
      <c r="AU4" s="24" t="s">
        <v>14</v>
      </c>
      <c r="AV4" s="24" t="s">
        <v>14</v>
      </c>
      <c r="AW4" s="24" t="s">
        <v>14</v>
      </c>
      <c r="AX4" s="24" t="s">
        <v>15</v>
      </c>
      <c r="AY4" s="24" t="s">
        <v>14</v>
      </c>
      <c r="AZ4" s="24" t="s">
        <v>15</v>
      </c>
      <c r="BA4" s="24" t="s">
        <v>14</v>
      </c>
      <c r="BB4" s="24" t="s">
        <v>15</v>
      </c>
      <c r="BC4" s="24" t="s">
        <v>14</v>
      </c>
      <c r="BD4" s="24" t="s">
        <v>15</v>
      </c>
      <c r="BE4" s="24" t="s">
        <v>14</v>
      </c>
      <c r="BF4" s="24" t="s">
        <v>14</v>
      </c>
      <c r="BG4" s="24" t="s">
        <v>14</v>
      </c>
      <c r="BH4" s="59" t="s">
        <v>17</v>
      </c>
      <c r="BI4" s="58" t="s">
        <v>14</v>
      </c>
      <c r="BJ4" s="55" t="s">
        <v>15</v>
      </c>
      <c r="BK4" s="55" t="s">
        <v>14</v>
      </c>
      <c r="BL4" s="55" t="s">
        <v>15</v>
      </c>
      <c r="BM4" s="55" t="s">
        <v>14</v>
      </c>
      <c r="BN4" s="55" t="s">
        <v>15</v>
      </c>
      <c r="BO4" s="55" t="s">
        <v>14</v>
      </c>
      <c r="BP4" s="55" t="s">
        <v>14</v>
      </c>
      <c r="BQ4" s="55" t="s">
        <v>15</v>
      </c>
      <c r="BR4" s="55" t="s">
        <v>14</v>
      </c>
      <c r="BS4" s="55" t="s">
        <v>15</v>
      </c>
      <c r="BT4" s="55" t="s">
        <v>14</v>
      </c>
      <c r="BU4" s="55" t="s">
        <v>15</v>
      </c>
      <c r="BV4" s="55" t="s">
        <v>14</v>
      </c>
      <c r="BW4" s="55" t="s">
        <v>14</v>
      </c>
      <c r="BX4" s="55" t="s">
        <v>15</v>
      </c>
      <c r="BY4" s="55" t="s">
        <v>14</v>
      </c>
      <c r="BZ4" s="55" t="s">
        <v>15</v>
      </c>
      <c r="CA4" s="55" t="s">
        <v>14</v>
      </c>
      <c r="CB4" s="55" t="s">
        <v>15</v>
      </c>
      <c r="CC4" s="55" t="s">
        <v>14</v>
      </c>
      <c r="CD4" s="55" t="s">
        <v>15</v>
      </c>
      <c r="CE4" s="55" t="s">
        <v>14</v>
      </c>
      <c r="CF4" s="55" t="s">
        <v>14</v>
      </c>
      <c r="CG4" s="55" t="s">
        <v>14</v>
      </c>
      <c r="CH4" s="55" t="s">
        <v>14</v>
      </c>
      <c r="CI4" s="55" t="s">
        <v>15</v>
      </c>
      <c r="CJ4" s="55" t="s">
        <v>14</v>
      </c>
      <c r="CK4" s="55" t="s">
        <v>15</v>
      </c>
      <c r="CL4" s="55" t="s">
        <v>14</v>
      </c>
      <c r="CM4" s="55" t="s">
        <v>15</v>
      </c>
      <c r="CN4" s="55" t="s">
        <v>14</v>
      </c>
      <c r="CO4" s="55" t="s">
        <v>15</v>
      </c>
      <c r="CP4" s="55" t="s">
        <v>14</v>
      </c>
      <c r="CQ4" s="55" t="s">
        <v>14</v>
      </c>
      <c r="CR4" s="55" t="s">
        <v>14</v>
      </c>
      <c r="CS4" s="55" t="s">
        <v>14</v>
      </c>
      <c r="CT4" s="55" t="s">
        <v>15</v>
      </c>
      <c r="CU4" s="55" t="s">
        <v>14</v>
      </c>
      <c r="CV4" s="55" t="s">
        <v>15</v>
      </c>
      <c r="CW4" s="55" t="s">
        <v>14</v>
      </c>
      <c r="CX4" s="55" t="s">
        <v>15</v>
      </c>
      <c r="CY4" s="55" t="s">
        <v>14</v>
      </c>
      <c r="CZ4" s="55" t="s">
        <v>15</v>
      </c>
      <c r="DA4" s="55" t="s">
        <v>14</v>
      </c>
      <c r="DB4" s="55" t="s">
        <v>14</v>
      </c>
      <c r="DC4" s="55" t="s">
        <v>14</v>
      </c>
      <c r="DD4" s="55" t="s">
        <v>14</v>
      </c>
      <c r="DE4" s="55" t="s">
        <v>15</v>
      </c>
      <c r="DF4" s="55" t="s">
        <v>14</v>
      </c>
      <c r="DG4" s="55" t="s">
        <v>15</v>
      </c>
      <c r="DH4" s="55" t="s">
        <v>14</v>
      </c>
      <c r="DI4" s="55" t="s">
        <v>15</v>
      </c>
      <c r="DJ4" s="55" t="s">
        <v>14</v>
      </c>
      <c r="DK4" s="55" t="s">
        <v>15</v>
      </c>
      <c r="DL4" s="55" t="s">
        <v>14</v>
      </c>
      <c r="DM4" s="55" t="s">
        <v>14</v>
      </c>
      <c r="DN4" s="55" t="s">
        <v>14</v>
      </c>
    </row>
    <row r="5" spans="1:118" ht="28.15" customHeight="1">
      <c r="A5" s="16" t="s">
        <v>68</v>
      </c>
      <c r="B5" s="10" t="s">
        <v>69</v>
      </c>
      <c r="C5" s="10" t="s">
        <v>69</v>
      </c>
      <c r="D5" s="10" t="s">
        <v>69</v>
      </c>
      <c r="E5" s="10" t="s">
        <v>69</v>
      </c>
      <c r="F5" s="10" t="s">
        <v>69</v>
      </c>
      <c r="G5" s="10" t="s">
        <v>69</v>
      </c>
      <c r="H5" s="10" t="s">
        <v>69</v>
      </c>
      <c r="I5" s="10" t="s">
        <v>69</v>
      </c>
      <c r="J5" s="10" t="s">
        <v>69</v>
      </c>
      <c r="K5" s="10" t="s">
        <v>69</v>
      </c>
      <c r="L5" s="10" t="s">
        <v>69</v>
      </c>
      <c r="M5" s="10" t="s">
        <v>69</v>
      </c>
      <c r="N5" s="10" t="s">
        <v>69</v>
      </c>
      <c r="O5" s="10" t="s">
        <v>69</v>
      </c>
      <c r="P5" s="10" t="s">
        <v>69</v>
      </c>
      <c r="Q5" s="10" t="s">
        <v>69</v>
      </c>
      <c r="R5" s="10" t="s">
        <v>69</v>
      </c>
      <c r="S5" s="10" t="s">
        <v>69</v>
      </c>
      <c r="T5" s="10" t="s">
        <v>69</v>
      </c>
      <c r="U5" s="10" t="s">
        <v>69</v>
      </c>
      <c r="V5" s="10" t="s">
        <v>69</v>
      </c>
      <c r="W5" s="10" t="s">
        <v>69</v>
      </c>
      <c r="X5" s="10" t="s">
        <v>69</v>
      </c>
      <c r="Y5" s="10" t="s">
        <v>69</v>
      </c>
      <c r="Z5" s="10" t="s">
        <v>69</v>
      </c>
      <c r="AA5" s="10" t="s">
        <v>69</v>
      </c>
      <c r="AB5" s="10" t="s">
        <v>69</v>
      </c>
      <c r="AC5" s="10" t="s">
        <v>69</v>
      </c>
      <c r="AD5" s="10" t="s">
        <v>69</v>
      </c>
      <c r="AE5" s="10" t="s">
        <v>69</v>
      </c>
      <c r="AF5" s="10" t="s">
        <v>69</v>
      </c>
      <c r="AG5" s="10" t="s">
        <v>69</v>
      </c>
      <c r="AH5" s="10" t="s">
        <v>69</v>
      </c>
      <c r="AI5" s="10" t="s">
        <v>69</v>
      </c>
      <c r="AJ5" s="10" t="s">
        <v>69</v>
      </c>
      <c r="AK5" s="10" t="s">
        <v>69</v>
      </c>
      <c r="AL5" s="10" t="s">
        <v>69</v>
      </c>
      <c r="AM5" s="10" t="s">
        <v>69</v>
      </c>
      <c r="AN5" s="10" t="s">
        <v>69</v>
      </c>
      <c r="AO5" s="10" t="s">
        <v>69</v>
      </c>
      <c r="AP5" s="10" t="s">
        <v>69</v>
      </c>
      <c r="AQ5" s="10" t="s">
        <v>69</v>
      </c>
      <c r="AR5" s="10" t="s">
        <v>69</v>
      </c>
      <c r="AS5" s="10" t="s">
        <v>69</v>
      </c>
      <c r="AT5" s="10" t="s">
        <v>69</v>
      </c>
      <c r="AU5" s="10" t="s">
        <v>69</v>
      </c>
      <c r="AV5" s="10" t="s">
        <v>69</v>
      </c>
      <c r="AW5" s="10" t="s">
        <v>69</v>
      </c>
      <c r="AX5" s="10" t="s">
        <v>69</v>
      </c>
      <c r="AY5" s="10" t="s">
        <v>69</v>
      </c>
      <c r="AZ5" s="10" t="s">
        <v>69</v>
      </c>
      <c r="BA5" s="10" t="s">
        <v>69</v>
      </c>
      <c r="BB5" s="10" t="s">
        <v>69</v>
      </c>
      <c r="BC5" s="10" t="s">
        <v>69</v>
      </c>
      <c r="BD5" s="10" t="s">
        <v>69</v>
      </c>
      <c r="BE5" s="10" t="s">
        <v>69</v>
      </c>
      <c r="BF5" s="10" t="s">
        <v>69</v>
      </c>
      <c r="BG5" s="10" t="s">
        <v>69</v>
      </c>
      <c r="BH5" s="110" t="s">
        <v>68</v>
      </c>
      <c r="BI5" s="59" t="s">
        <v>70</v>
      </c>
      <c r="BJ5" s="59" t="s">
        <v>69</v>
      </c>
      <c r="BK5" s="59" t="s">
        <v>69</v>
      </c>
      <c r="BL5" s="59" t="s">
        <v>69</v>
      </c>
      <c r="BM5" s="59" t="s">
        <v>69</v>
      </c>
      <c r="BN5" s="59" t="s">
        <v>69</v>
      </c>
      <c r="BO5" s="59" t="s">
        <v>69</v>
      </c>
      <c r="BP5" s="59" t="s">
        <v>69</v>
      </c>
      <c r="BQ5" s="59" t="s">
        <v>69</v>
      </c>
      <c r="BR5" s="59" t="s">
        <v>69</v>
      </c>
      <c r="BS5" s="59" t="s">
        <v>69</v>
      </c>
      <c r="BT5" s="59" t="s">
        <v>69</v>
      </c>
      <c r="BU5" s="59" t="s">
        <v>69</v>
      </c>
      <c r="BV5" s="59" t="s">
        <v>69</v>
      </c>
      <c r="BW5" s="59" t="s">
        <v>69</v>
      </c>
      <c r="BX5" s="59" t="s">
        <v>69</v>
      </c>
      <c r="BY5" s="59" t="s">
        <v>69</v>
      </c>
      <c r="BZ5" s="59" t="s">
        <v>69</v>
      </c>
      <c r="CA5" s="59" t="s">
        <v>69</v>
      </c>
      <c r="CB5" s="59" t="s">
        <v>69</v>
      </c>
      <c r="CC5" s="59" t="s">
        <v>69</v>
      </c>
      <c r="CD5" s="59" t="s">
        <v>69</v>
      </c>
      <c r="CE5" s="59" t="s">
        <v>69</v>
      </c>
      <c r="CF5" s="59" t="s">
        <v>69</v>
      </c>
      <c r="CG5" s="59" t="s">
        <v>69</v>
      </c>
      <c r="CH5" s="59" t="s">
        <v>69</v>
      </c>
      <c r="CI5" s="59" t="s">
        <v>69</v>
      </c>
      <c r="CJ5" s="59" t="s">
        <v>69</v>
      </c>
      <c r="CK5" s="59" t="s">
        <v>69</v>
      </c>
      <c r="CL5" s="59" t="s">
        <v>69</v>
      </c>
      <c r="CM5" s="59" t="s">
        <v>69</v>
      </c>
      <c r="CN5" s="59" t="s">
        <v>69</v>
      </c>
      <c r="CO5" s="59" t="s">
        <v>69</v>
      </c>
      <c r="CP5" s="59" t="s">
        <v>69</v>
      </c>
      <c r="CQ5" s="59" t="s">
        <v>69</v>
      </c>
      <c r="CR5" s="59" t="s">
        <v>69</v>
      </c>
      <c r="CS5" s="59" t="s">
        <v>69</v>
      </c>
      <c r="CT5" s="59" t="s">
        <v>69</v>
      </c>
      <c r="CU5" s="59" t="s">
        <v>69</v>
      </c>
      <c r="CV5" s="59" t="s">
        <v>69</v>
      </c>
      <c r="CW5" s="59" t="s">
        <v>69</v>
      </c>
      <c r="CX5" s="59" t="s">
        <v>69</v>
      </c>
      <c r="CY5" s="59" t="s">
        <v>69</v>
      </c>
      <c r="CZ5" s="59" t="s">
        <v>69</v>
      </c>
      <c r="DA5" s="59" t="s">
        <v>69</v>
      </c>
      <c r="DB5" s="59" t="s">
        <v>69</v>
      </c>
      <c r="DC5" s="59" t="s">
        <v>69</v>
      </c>
      <c r="DD5" s="59" t="s">
        <v>69</v>
      </c>
      <c r="DE5" s="59" t="s">
        <v>69</v>
      </c>
      <c r="DF5" s="59" t="s">
        <v>69</v>
      </c>
      <c r="DG5" s="59" t="s">
        <v>69</v>
      </c>
      <c r="DH5" s="59" t="s">
        <v>69</v>
      </c>
      <c r="DI5" s="59" t="s">
        <v>69</v>
      </c>
      <c r="DJ5" s="59" t="s">
        <v>69</v>
      </c>
      <c r="DK5" s="59" t="s">
        <v>69</v>
      </c>
      <c r="DL5" s="59" t="s">
        <v>69</v>
      </c>
      <c r="DM5" s="60" t="s">
        <v>69</v>
      </c>
      <c r="DN5" s="61" t="s">
        <v>69</v>
      </c>
    </row>
    <row r="6" spans="1:118" ht="16.5">
      <c r="A6" s="12" t="s">
        <v>36</v>
      </c>
      <c r="B6" s="329">
        <v>168</v>
      </c>
      <c r="C6" s="329">
        <v>55</v>
      </c>
      <c r="D6" s="329">
        <v>158</v>
      </c>
      <c r="E6" s="329">
        <v>103</v>
      </c>
      <c r="F6" s="329">
        <v>86</v>
      </c>
      <c r="G6" s="329">
        <v>185</v>
      </c>
      <c r="H6" s="329">
        <v>105</v>
      </c>
      <c r="I6" s="329">
        <v>115</v>
      </c>
      <c r="J6" s="329">
        <v>40</v>
      </c>
      <c r="K6" s="329">
        <v>111</v>
      </c>
      <c r="L6" s="329">
        <v>66</v>
      </c>
      <c r="M6" s="329">
        <v>93</v>
      </c>
      <c r="N6" s="329">
        <v>157</v>
      </c>
      <c r="O6" s="329">
        <v>82</v>
      </c>
      <c r="P6" s="329">
        <v>105</v>
      </c>
      <c r="Q6" s="329">
        <v>64</v>
      </c>
      <c r="R6" s="329">
        <v>95</v>
      </c>
      <c r="S6" s="329">
        <v>187</v>
      </c>
      <c r="T6" s="329">
        <v>86</v>
      </c>
      <c r="U6" s="329">
        <v>41</v>
      </c>
      <c r="V6" s="329">
        <v>84</v>
      </c>
      <c r="W6" s="329">
        <v>37</v>
      </c>
      <c r="X6" s="329">
        <v>110</v>
      </c>
      <c r="Y6" s="329">
        <v>57</v>
      </c>
      <c r="Z6" s="329">
        <v>156</v>
      </c>
      <c r="AA6" s="329">
        <v>110</v>
      </c>
      <c r="AB6" s="329">
        <v>64</v>
      </c>
      <c r="AC6" s="329">
        <v>93</v>
      </c>
      <c r="AD6" s="329">
        <v>182</v>
      </c>
      <c r="AE6" s="329">
        <v>79</v>
      </c>
      <c r="AF6" s="329">
        <v>41</v>
      </c>
      <c r="AG6" s="329">
        <v>110</v>
      </c>
      <c r="AH6" s="329">
        <v>30</v>
      </c>
      <c r="AI6" s="329">
        <v>110</v>
      </c>
      <c r="AJ6" s="329">
        <v>55</v>
      </c>
      <c r="AK6" s="329">
        <v>152</v>
      </c>
      <c r="AL6" s="329">
        <v>103</v>
      </c>
      <c r="AM6" s="329">
        <v>64</v>
      </c>
      <c r="AN6" s="329">
        <v>103</v>
      </c>
      <c r="AO6" s="329">
        <v>196</v>
      </c>
      <c r="AP6" s="329">
        <v>86</v>
      </c>
      <c r="AQ6" s="329">
        <v>41</v>
      </c>
      <c r="AR6" s="329">
        <v>105</v>
      </c>
      <c r="AS6" s="329">
        <v>25</v>
      </c>
      <c r="AT6" s="329">
        <v>119</v>
      </c>
      <c r="AU6" s="329">
        <v>52</v>
      </c>
      <c r="AV6" s="329">
        <v>153</v>
      </c>
      <c r="AW6" s="329">
        <v>91</v>
      </c>
      <c r="AX6" s="329">
        <v>58</v>
      </c>
      <c r="AY6" s="329">
        <v>81</v>
      </c>
      <c r="AZ6" s="329">
        <v>119</v>
      </c>
      <c r="BA6" s="329">
        <v>81</v>
      </c>
      <c r="BB6" s="329">
        <v>45</v>
      </c>
      <c r="BC6" s="329">
        <v>95</v>
      </c>
      <c r="BD6" s="329">
        <v>20</v>
      </c>
      <c r="BE6" s="329">
        <v>137</v>
      </c>
      <c r="BF6" s="329">
        <v>56</v>
      </c>
      <c r="BG6" s="329">
        <v>145</v>
      </c>
      <c r="BH6" s="111" t="s">
        <v>36</v>
      </c>
      <c r="BI6" s="336">
        <v>3</v>
      </c>
      <c r="BJ6" s="336">
        <v>1</v>
      </c>
      <c r="BK6" s="336">
        <v>3</v>
      </c>
      <c r="BL6" s="336">
        <v>2</v>
      </c>
      <c r="BM6" s="336">
        <v>2</v>
      </c>
      <c r="BN6" s="336">
        <v>4</v>
      </c>
      <c r="BO6" s="336">
        <v>2</v>
      </c>
      <c r="BP6" s="336">
        <v>3</v>
      </c>
      <c r="BQ6" s="336">
        <v>1</v>
      </c>
      <c r="BR6" s="336">
        <v>2</v>
      </c>
      <c r="BS6" s="336">
        <v>1</v>
      </c>
      <c r="BT6" s="336">
        <v>2</v>
      </c>
      <c r="BU6" s="336">
        <v>3</v>
      </c>
      <c r="BV6" s="336">
        <v>2</v>
      </c>
      <c r="BW6" s="336">
        <v>2</v>
      </c>
      <c r="BX6" s="336">
        <v>1</v>
      </c>
      <c r="BY6" s="336">
        <v>2</v>
      </c>
      <c r="BZ6" s="336">
        <v>4</v>
      </c>
      <c r="CA6" s="336">
        <v>2</v>
      </c>
      <c r="CB6" s="336">
        <v>1</v>
      </c>
      <c r="CC6" s="336">
        <v>2</v>
      </c>
      <c r="CD6" s="336">
        <v>1</v>
      </c>
      <c r="CE6" s="336">
        <v>2</v>
      </c>
      <c r="CF6" s="336">
        <v>1</v>
      </c>
      <c r="CG6" s="336">
        <v>3</v>
      </c>
      <c r="CH6" s="336">
        <v>2</v>
      </c>
      <c r="CI6" s="336">
        <v>1</v>
      </c>
      <c r="CJ6" s="336">
        <v>2</v>
      </c>
      <c r="CK6" s="336">
        <v>4</v>
      </c>
      <c r="CL6" s="336">
        <v>2</v>
      </c>
      <c r="CM6" s="336">
        <v>1</v>
      </c>
      <c r="CN6" s="336">
        <v>2</v>
      </c>
      <c r="CO6" s="336">
        <v>1</v>
      </c>
      <c r="CP6" s="336">
        <v>2</v>
      </c>
      <c r="CQ6" s="336">
        <v>1</v>
      </c>
      <c r="CR6" s="336">
        <v>3</v>
      </c>
      <c r="CS6" s="336">
        <v>2</v>
      </c>
      <c r="CT6" s="336">
        <v>1</v>
      </c>
      <c r="CU6" s="336">
        <v>2</v>
      </c>
      <c r="CV6" s="336">
        <v>4</v>
      </c>
      <c r="CW6" s="336">
        <v>2</v>
      </c>
      <c r="CX6" s="336">
        <v>1</v>
      </c>
      <c r="CY6" s="336">
        <v>2</v>
      </c>
      <c r="CZ6" s="336">
        <v>1</v>
      </c>
      <c r="DA6" s="336">
        <v>2</v>
      </c>
      <c r="DB6" s="336">
        <v>2</v>
      </c>
      <c r="DC6" s="336">
        <v>4</v>
      </c>
      <c r="DD6" s="336">
        <v>11</v>
      </c>
      <c r="DE6" s="336">
        <v>7</v>
      </c>
      <c r="DF6" s="336">
        <v>10</v>
      </c>
      <c r="DG6" s="336">
        <v>15</v>
      </c>
      <c r="DH6" s="336">
        <v>10</v>
      </c>
      <c r="DI6" s="336">
        <v>6</v>
      </c>
      <c r="DJ6" s="336">
        <v>12</v>
      </c>
      <c r="DK6" s="336">
        <v>3</v>
      </c>
      <c r="DL6" s="336">
        <v>17</v>
      </c>
      <c r="DM6" s="336">
        <v>7</v>
      </c>
      <c r="DN6" s="336">
        <v>18</v>
      </c>
    </row>
    <row r="7" spans="1:118" ht="16.5">
      <c r="A7" s="13" t="s">
        <v>10</v>
      </c>
      <c r="B7" s="329">
        <v>102</v>
      </c>
      <c r="C7" s="329">
        <v>40</v>
      </c>
      <c r="D7" s="329">
        <v>145</v>
      </c>
      <c r="E7" s="329">
        <v>97</v>
      </c>
      <c r="F7" s="329">
        <v>91</v>
      </c>
      <c r="G7" s="329">
        <v>206</v>
      </c>
      <c r="H7" s="329">
        <v>73</v>
      </c>
      <c r="I7" s="329">
        <v>102</v>
      </c>
      <c r="J7" s="329">
        <v>30</v>
      </c>
      <c r="K7" s="329">
        <v>94</v>
      </c>
      <c r="L7" s="329">
        <v>64</v>
      </c>
      <c r="M7" s="329">
        <v>98</v>
      </c>
      <c r="N7" s="329">
        <v>160</v>
      </c>
      <c r="O7" s="329">
        <v>106</v>
      </c>
      <c r="P7" s="329">
        <v>103</v>
      </c>
      <c r="Q7" s="329">
        <v>55</v>
      </c>
      <c r="R7" s="329">
        <v>105</v>
      </c>
      <c r="S7" s="329">
        <v>212</v>
      </c>
      <c r="T7" s="329">
        <v>83</v>
      </c>
      <c r="U7" s="329">
        <v>37</v>
      </c>
      <c r="V7" s="329">
        <v>70</v>
      </c>
      <c r="W7" s="329">
        <v>26</v>
      </c>
      <c r="X7" s="329">
        <v>103</v>
      </c>
      <c r="Y7" s="329">
        <v>59</v>
      </c>
      <c r="Z7" s="329">
        <v>124</v>
      </c>
      <c r="AA7" s="329">
        <v>118</v>
      </c>
      <c r="AB7" s="329">
        <v>55</v>
      </c>
      <c r="AC7" s="329">
        <v>107</v>
      </c>
      <c r="AD7" s="329">
        <v>169</v>
      </c>
      <c r="AE7" s="329">
        <v>79</v>
      </c>
      <c r="AF7" s="329">
        <v>34</v>
      </c>
      <c r="AG7" s="329">
        <v>88</v>
      </c>
      <c r="AH7" s="329">
        <v>28</v>
      </c>
      <c r="AI7" s="329">
        <v>124</v>
      </c>
      <c r="AJ7" s="329">
        <v>55</v>
      </c>
      <c r="AK7" s="329">
        <v>136</v>
      </c>
      <c r="AL7" s="329">
        <v>91</v>
      </c>
      <c r="AM7" s="329">
        <v>50</v>
      </c>
      <c r="AN7" s="329">
        <v>110</v>
      </c>
      <c r="AO7" s="329">
        <v>176</v>
      </c>
      <c r="AP7" s="329">
        <v>91</v>
      </c>
      <c r="AQ7" s="329">
        <v>41</v>
      </c>
      <c r="AR7" s="329">
        <v>97</v>
      </c>
      <c r="AS7" s="329">
        <v>20</v>
      </c>
      <c r="AT7" s="329">
        <v>132</v>
      </c>
      <c r="AU7" s="329">
        <v>66</v>
      </c>
      <c r="AV7" s="329">
        <v>126</v>
      </c>
      <c r="AW7" s="329">
        <v>95</v>
      </c>
      <c r="AX7" s="329">
        <v>52</v>
      </c>
      <c r="AY7" s="329">
        <v>95</v>
      </c>
      <c r="AZ7" s="329">
        <v>122</v>
      </c>
      <c r="BA7" s="329">
        <v>66</v>
      </c>
      <c r="BB7" s="329">
        <v>33</v>
      </c>
      <c r="BC7" s="329">
        <v>74</v>
      </c>
      <c r="BD7" s="329">
        <v>18</v>
      </c>
      <c r="BE7" s="329">
        <v>112</v>
      </c>
      <c r="BF7" s="329">
        <v>57</v>
      </c>
      <c r="BG7" s="329">
        <v>117</v>
      </c>
      <c r="BH7" s="112" t="s">
        <v>10</v>
      </c>
      <c r="BI7" s="336">
        <v>2</v>
      </c>
      <c r="BJ7" s="336">
        <v>1</v>
      </c>
      <c r="BK7" s="336">
        <v>3</v>
      </c>
      <c r="BL7" s="336">
        <v>2</v>
      </c>
      <c r="BM7" s="336">
        <v>2</v>
      </c>
      <c r="BN7" s="336">
        <v>4</v>
      </c>
      <c r="BO7" s="336">
        <v>1</v>
      </c>
      <c r="BP7" s="336">
        <v>2</v>
      </c>
      <c r="BQ7" s="336">
        <v>1</v>
      </c>
      <c r="BR7" s="336">
        <v>2</v>
      </c>
      <c r="BS7" s="336">
        <v>1</v>
      </c>
      <c r="BT7" s="336">
        <v>2</v>
      </c>
      <c r="BU7" s="336">
        <v>4</v>
      </c>
      <c r="BV7" s="336">
        <v>2</v>
      </c>
      <c r="BW7" s="336">
        <v>2</v>
      </c>
      <c r="BX7" s="336">
        <v>1</v>
      </c>
      <c r="BY7" s="336">
        <v>2</v>
      </c>
      <c r="BZ7" s="336">
        <v>4</v>
      </c>
      <c r="CA7" s="336">
        <v>2</v>
      </c>
      <c r="CB7" s="336">
        <v>1</v>
      </c>
      <c r="CC7" s="336">
        <v>1</v>
      </c>
      <c r="CD7" s="336">
        <v>1</v>
      </c>
      <c r="CE7" s="336">
        <v>2</v>
      </c>
      <c r="CF7" s="336">
        <v>2</v>
      </c>
      <c r="CG7" s="336">
        <v>2</v>
      </c>
      <c r="CH7" s="336">
        <v>2</v>
      </c>
      <c r="CI7" s="336">
        <v>1</v>
      </c>
      <c r="CJ7" s="336">
        <v>2</v>
      </c>
      <c r="CK7" s="336">
        <v>4</v>
      </c>
      <c r="CL7" s="336">
        <v>2</v>
      </c>
      <c r="CM7" s="336">
        <v>1</v>
      </c>
      <c r="CN7" s="336">
        <v>2</v>
      </c>
      <c r="CO7" s="336">
        <v>1</v>
      </c>
      <c r="CP7" s="336">
        <v>3</v>
      </c>
      <c r="CQ7" s="336">
        <v>1</v>
      </c>
      <c r="CR7" s="336">
        <v>3</v>
      </c>
      <c r="CS7" s="336">
        <v>2</v>
      </c>
      <c r="CT7" s="336">
        <v>1</v>
      </c>
      <c r="CU7" s="336">
        <v>2</v>
      </c>
      <c r="CV7" s="336">
        <v>4</v>
      </c>
      <c r="CW7" s="336">
        <v>2</v>
      </c>
      <c r="CX7" s="336">
        <v>1</v>
      </c>
      <c r="CY7" s="336">
        <v>2</v>
      </c>
      <c r="CZ7" s="336">
        <v>1</v>
      </c>
      <c r="DA7" s="336">
        <v>3</v>
      </c>
      <c r="DB7" s="336">
        <v>2</v>
      </c>
      <c r="DC7" s="336">
        <v>3</v>
      </c>
      <c r="DD7" s="336">
        <v>12</v>
      </c>
      <c r="DE7" s="336">
        <v>6</v>
      </c>
      <c r="DF7" s="336">
        <v>12</v>
      </c>
      <c r="DG7" s="336">
        <v>15</v>
      </c>
      <c r="DH7" s="336">
        <v>8</v>
      </c>
      <c r="DI7" s="336">
        <v>4</v>
      </c>
      <c r="DJ7" s="336">
        <v>10</v>
      </c>
      <c r="DK7" s="336">
        <v>2</v>
      </c>
      <c r="DL7" s="336">
        <v>14</v>
      </c>
      <c r="DM7" s="336">
        <v>7</v>
      </c>
      <c r="DN7" s="336">
        <v>15</v>
      </c>
    </row>
    <row r="8" spans="1:118" ht="16.5">
      <c r="A8" s="13" t="s">
        <v>11</v>
      </c>
      <c r="B8" s="329">
        <v>112</v>
      </c>
      <c r="C8" s="329">
        <v>36</v>
      </c>
      <c r="D8" s="329">
        <v>129</v>
      </c>
      <c r="E8" s="329">
        <v>79</v>
      </c>
      <c r="F8" s="329">
        <v>100</v>
      </c>
      <c r="G8" s="330">
        <v>148</v>
      </c>
      <c r="H8" s="329">
        <v>75</v>
      </c>
      <c r="I8" s="329">
        <v>115</v>
      </c>
      <c r="J8" s="329">
        <v>22</v>
      </c>
      <c r="K8" s="329">
        <v>104</v>
      </c>
      <c r="L8" s="329">
        <v>52</v>
      </c>
      <c r="M8" s="329">
        <v>91</v>
      </c>
      <c r="N8" s="329">
        <v>167</v>
      </c>
      <c r="O8" s="329">
        <v>81</v>
      </c>
      <c r="P8" s="329">
        <v>95</v>
      </c>
      <c r="Q8" s="329">
        <v>54</v>
      </c>
      <c r="R8" s="329">
        <v>87</v>
      </c>
      <c r="S8" s="329">
        <v>216</v>
      </c>
      <c r="T8" s="329">
        <v>73</v>
      </c>
      <c r="U8" s="329">
        <v>29</v>
      </c>
      <c r="V8" s="329">
        <v>70</v>
      </c>
      <c r="W8" s="329">
        <v>25</v>
      </c>
      <c r="X8" s="329">
        <v>98</v>
      </c>
      <c r="Y8" s="329">
        <v>50</v>
      </c>
      <c r="Z8" s="331" t="s">
        <v>268</v>
      </c>
      <c r="AA8" s="329">
        <v>104</v>
      </c>
      <c r="AB8" s="329">
        <v>59</v>
      </c>
      <c r="AC8" s="329">
        <v>97</v>
      </c>
      <c r="AD8" s="329">
        <v>172</v>
      </c>
      <c r="AE8" s="329">
        <v>74</v>
      </c>
      <c r="AF8" s="329">
        <v>36</v>
      </c>
      <c r="AG8" s="329">
        <v>91</v>
      </c>
      <c r="AH8" s="329">
        <v>20</v>
      </c>
      <c r="AI8" s="329">
        <v>109</v>
      </c>
      <c r="AJ8" s="329">
        <v>52</v>
      </c>
      <c r="AK8" s="331" t="s">
        <v>268</v>
      </c>
      <c r="AL8" s="329">
        <v>93</v>
      </c>
      <c r="AM8" s="329">
        <v>59</v>
      </c>
      <c r="AN8" s="332">
        <v>96</v>
      </c>
      <c r="AO8" s="329">
        <v>192</v>
      </c>
      <c r="AP8" s="329">
        <v>82</v>
      </c>
      <c r="AQ8" s="329">
        <v>33</v>
      </c>
      <c r="AR8" s="329">
        <v>83</v>
      </c>
      <c r="AS8" s="329">
        <v>20</v>
      </c>
      <c r="AT8" s="329">
        <v>107</v>
      </c>
      <c r="AU8" s="329">
        <v>59</v>
      </c>
      <c r="AV8" s="331" t="s">
        <v>268</v>
      </c>
      <c r="AW8" s="329">
        <v>91</v>
      </c>
      <c r="AX8" s="329">
        <v>53</v>
      </c>
      <c r="AY8" s="329">
        <v>73</v>
      </c>
      <c r="AZ8" s="329">
        <v>115</v>
      </c>
      <c r="BA8" s="329">
        <v>78</v>
      </c>
      <c r="BB8" s="329">
        <v>32</v>
      </c>
      <c r="BC8" s="329">
        <v>101</v>
      </c>
      <c r="BD8" s="329">
        <v>21</v>
      </c>
      <c r="BE8" s="329">
        <v>100</v>
      </c>
      <c r="BF8" s="329">
        <v>51</v>
      </c>
      <c r="BG8" s="333" t="s">
        <v>269</v>
      </c>
      <c r="BH8" s="112" t="s">
        <v>11</v>
      </c>
      <c r="BI8" s="336">
        <v>2</v>
      </c>
      <c r="BJ8" s="336">
        <v>1</v>
      </c>
      <c r="BK8" s="336">
        <v>3</v>
      </c>
      <c r="BL8" s="336">
        <v>2</v>
      </c>
      <c r="BM8" s="336">
        <v>2</v>
      </c>
      <c r="BN8" s="337">
        <v>3</v>
      </c>
      <c r="BO8" s="336">
        <v>1</v>
      </c>
      <c r="BP8" s="336">
        <v>2</v>
      </c>
      <c r="BQ8" s="336">
        <v>1</v>
      </c>
      <c r="BR8" s="336">
        <v>3</v>
      </c>
      <c r="BS8" s="336">
        <v>2</v>
      </c>
      <c r="BT8" s="336">
        <v>2</v>
      </c>
      <c r="BU8" s="336">
        <v>4</v>
      </c>
      <c r="BV8" s="336">
        <v>2</v>
      </c>
      <c r="BW8" s="336">
        <v>2</v>
      </c>
      <c r="BX8" s="336">
        <v>1</v>
      </c>
      <c r="BY8" s="336">
        <v>2</v>
      </c>
      <c r="BZ8" s="336">
        <v>4</v>
      </c>
      <c r="CA8" s="336">
        <v>1</v>
      </c>
      <c r="CB8" s="336">
        <v>1</v>
      </c>
      <c r="CC8" s="336">
        <v>2</v>
      </c>
      <c r="CD8" s="336">
        <v>1</v>
      </c>
      <c r="CE8" s="336">
        <v>2</v>
      </c>
      <c r="CF8" s="336">
        <v>1</v>
      </c>
      <c r="CG8" s="338" t="s">
        <v>268</v>
      </c>
      <c r="CH8" s="336">
        <v>3</v>
      </c>
      <c r="CI8" s="336">
        <v>2</v>
      </c>
      <c r="CJ8" s="336">
        <v>2</v>
      </c>
      <c r="CK8" s="336">
        <v>3</v>
      </c>
      <c r="CL8" s="336">
        <v>1</v>
      </c>
      <c r="CM8" s="336">
        <v>1</v>
      </c>
      <c r="CN8" s="336">
        <v>2</v>
      </c>
      <c r="CO8" s="336">
        <v>1</v>
      </c>
      <c r="CP8" s="336">
        <v>2</v>
      </c>
      <c r="CQ8" s="336">
        <v>1</v>
      </c>
      <c r="CR8" s="338" t="s">
        <v>268</v>
      </c>
      <c r="CS8" s="336">
        <v>2</v>
      </c>
      <c r="CT8" s="336">
        <v>2</v>
      </c>
      <c r="CU8" s="337">
        <v>2</v>
      </c>
      <c r="CV8" s="336">
        <v>4</v>
      </c>
      <c r="CW8" s="336">
        <v>1</v>
      </c>
      <c r="CX8" s="336">
        <v>1</v>
      </c>
      <c r="CY8" s="336">
        <v>2</v>
      </c>
      <c r="CZ8" s="336">
        <v>1</v>
      </c>
      <c r="DA8" s="336">
        <v>2</v>
      </c>
      <c r="DB8" s="336">
        <v>2</v>
      </c>
      <c r="DC8" s="338" t="s">
        <v>268</v>
      </c>
      <c r="DD8" s="336">
        <v>11</v>
      </c>
      <c r="DE8" s="336">
        <v>7</v>
      </c>
      <c r="DF8" s="336">
        <v>9</v>
      </c>
      <c r="DG8" s="336">
        <v>14</v>
      </c>
      <c r="DH8" s="336">
        <v>10</v>
      </c>
      <c r="DI8" s="336">
        <v>4</v>
      </c>
      <c r="DJ8" s="336">
        <v>13</v>
      </c>
      <c r="DK8" s="336">
        <v>3</v>
      </c>
      <c r="DL8" s="336">
        <v>13</v>
      </c>
      <c r="DM8" s="336">
        <v>6</v>
      </c>
      <c r="DN8" s="336" t="s">
        <v>268</v>
      </c>
    </row>
    <row r="9" spans="1:118" ht="16.5">
      <c r="A9" s="14" t="s">
        <v>12</v>
      </c>
      <c r="B9" s="334">
        <v>0</v>
      </c>
      <c r="C9" s="334">
        <v>0</v>
      </c>
      <c r="D9" s="334">
        <v>0</v>
      </c>
      <c r="E9" s="334">
        <v>0</v>
      </c>
      <c r="F9" s="334">
        <v>0</v>
      </c>
      <c r="G9" s="334">
        <v>0</v>
      </c>
      <c r="H9" s="334">
        <v>0</v>
      </c>
      <c r="I9" s="334">
        <v>0</v>
      </c>
      <c r="J9" s="334">
        <v>0</v>
      </c>
      <c r="K9" s="334">
        <v>0</v>
      </c>
      <c r="L9" s="334">
        <v>0</v>
      </c>
      <c r="M9" s="334">
        <v>0</v>
      </c>
      <c r="N9" s="334">
        <v>0</v>
      </c>
      <c r="O9" s="334">
        <v>0</v>
      </c>
      <c r="P9" s="334">
        <v>0</v>
      </c>
      <c r="Q9" s="334">
        <v>0</v>
      </c>
      <c r="R9" s="334">
        <v>0</v>
      </c>
      <c r="S9" s="334">
        <v>0</v>
      </c>
      <c r="T9" s="334">
        <v>0</v>
      </c>
      <c r="U9" s="334">
        <v>0</v>
      </c>
      <c r="V9" s="334">
        <v>0</v>
      </c>
      <c r="W9" s="334">
        <v>0</v>
      </c>
      <c r="X9" s="334">
        <v>0</v>
      </c>
      <c r="Y9" s="334">
        <v>0</v>
      </c>
      <c r="Z9" s="334">
        <v>0</v>
      </c>
      <c r="AA9" s="334">
        <v>0</v>
      </c>
      <c r="AB9" s="334">
        <v>0</v>
      </c>
      <c r="AC9" s="334">
        <v>0</v>
      </c>
      <c r="AD9" s="334">
        <v>0</v>
      </c>
      <c r="AE9" s="334">
        <v>0</v>
      </c>
      <c r="AF9" s="334">
        <v>0</v>
      </c>
      <c r="AG9" s="334">
        <v>0</v>
      </c>
      <c r="AH9" s="334">
        <v>0</v>
      </c>
      <c r="AI9" s="334">
        <v>0</v>
      </c>
      <c r="AJ9" s="334">
        <v>0</v>
      </c>
      <c r="AK9" s="334">
        <v>0</v>
      </c>
      <c r="AL9" s="334">
        <v>0</v>
      </c>
      <c r="AM9" s="334">
        <v>0</v>
      </c>
      <c r="AN9" s="334">
        <v>0</v>
      </c>
      <c r="AO9" s="334">
        <v>0</v>
      </c>
      <c r="AP9" s="334">
        <v>0</v>
      </c>
      <c r="AQ9" s="334">
        <v>0</v>
      </c>
      <c r="AR9" s="334">
        <v>0</v>
      </c>
      <c r="AS9" s="334">
        <v>0</v>
      </c>
      <c r="AT9" s="334">
        <v>0</v>
      </c>
      <c r="AU9" s="334">
        <v>0</v>
      </c>
      <c r="AV9" s="334">
        <v>0</v>
      </c>
      <c r="AW9" s="334">
        <v>0</v>
      </c>
      <c r="AX9" s="334">
        <v>0</v>
      </c>
      <c r="AY9" s="334">
        <v>0</v>
      </c>
      <c r="AZ9" s="334">
        <v>0</v>
      </c>
      <c r="BA9" s="334">
        <v>0</v>
      </c>
      <c r="BB9" s="334">
        <v>0</v>
      </c>
      <c r="BC9" s="334">
        <v>0</v>
      </c>
      <c r="BD9" s="334">
        <v>0</v>
      </c>
      <c r="BE9" s="334">
        <v>0</v>
      </c>
      <c r="BF9" s="335">
        <v>0</v>
      </c>
      <c r="BG9" s="335">
        <v>0</v>
      </c>
      <c r="BH9" s="67" t="s">
        <v>12</v>
      </c>
      <c r="BI9" s="339">
        <v>0</v>
      </c>
      <c r="BJ9" s="339">
        <v>0</v>
      </c>
      <c r="BK9" s="339">
        <v>0</v>
      </c>
      <c r="BL9" s="339">
        <v>0</v>
      </c>
      <c r="BM9" s="339">
        <v>0</v>
      </c>
      <c r="BN9" s="339">
        <v>0</v>
      </c>
      <c r="BO9" s="339">
        <v>0</v>
      </c>
      <c r="BP9" s="339">
        <v>0</v>
      </c>
      <c r="BQ9" s="339">
        <v>0</v>
      </c>
      <c r="BR9" s="339">
        <v>0</v>
      </c>
      <c r="BS9" s="339">
        <v>0</v>
      </c>
      <c r="BT9" s="339">
        <v>0</v>
      </c>
      <c r="BU9" s="339">
        <v>0</v>
      </c>
      <c r="BV9" s="339">
        <v>0</v>
      </c>
      <c r="BW9" s="339">
        <v>0</v>
      </c>
      <c r="BX9" s="339">
        <v>0</v>
      </c>
      <c r="BY9" s="339">
        <v>0</v>
      </c>
      <c r="BZ9" s="339">
        <v>0</v>
      </c>
      <c r="CA9" s="339">
        <v>0</v>
      </c>
      <c r="CB9" s="339">
        <v>0</v>
      </c>
      <c r="CC9" s="339">
        <v>0</v>
      </c>
      <c r="CD9" s="339">
        <v>0</v>
      </c>
      <c r="CE9" s="339">
        <v>0</v>
      </c>
      <c r="CF9" s="339">
        <v>0</v>
      </c>
      <c r="CG9" s="339">
        <v>0</v>
      </c>
      <c r="CH9" s="339">
        <v>0</v>
      </c>
      <c r="CI9" s="339">
        <v>0</v>
      </c>
      <c r="CJ9" s="339">
        <v>0</v>
      </c>
      <c r="CK9" s="339">
        <v>0</v>
      </c>
      <c r="CL9" s="339">
        <v>0</v>
      </c>
      <c r="CM9" s="339">
        <v>0</v>
      </c>
      <c r="CN9" s="339">
        <v>0</v>
      </c>
      <c r="CO9" s="339">
        <v>0</v>
      </c>
      <c r="CP9" s="339">
        <v>0</v>
      </c>
      <c r="CQ9" s="339">
        <v>0</v>
      </c>
      <c r="CR9" s="339">
        <v>0</v>
      </c>
      <c r="CS9" s="339">
        <v>0</v>
      </c>
      <c r="CT9" s="339">
        <v>0</v>
      </c>
      <c r="CU9" s="339">
        <v>0</v>
      </c>
      <c r="CV9" s="339">
        <v>0</v>
      </c>
      <c r="CW9" s="339">
        <v>0</v>
      </c>
      <c r="CX9" s="339">
        <v>0</v>
      </c>
      <c r="CY9" s="339">
        <v>0</v>
      </c>
      <c r="CZ9" s="339">
        <v>0</v>
      </c>
      <c r="DA9" s="339">
        <v>0</v>
      </c>
      <c r="DB9" s="339">
        <v>0</v>
      </c>
      <c r="DC9" s="339">
        <v>0</v>
      </c>
      <c r="DD9" s="339">
        <v>0</v>
      </c>
      <c r="DE9" s="339">
        <v>0</v>
      </c>
      <c r="DF9" s="339">
        <v>0</v>
      </c>
      <c r="DG9" s="339">
        <v>0</v>
      </c>
      <c r="DH9" s="339">
        <v>0</v>
      </c>
      <c r="DI9" s="339">
        <v>0</v>
      </c>
      <c r="DJ9" s="339">
        <v>0</v>
      </c>
      <c r="DK9" s="339">
        <v>0</v>
      </c>
      <c r="DL9" s="339">
        <v>0</v>
      </c>
      <c r="DM9" s="340">
        <v>0</v>
      </c>
      <c r="DN9" s="340">
        <v>0</v>
      </c>
    </row>
    <row r="11" spans="1:118" ht="17.2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9">
        <v>13</v>
      </c>
      <c r="N11" s="19">
        <v>14</v>
      </c>
      <c r="O11" s="19">
        <v>15</v>
      </c>
      <c r="P11" s="19">
        <v>16</v>
      </c>
      <c r="Q11" s="19">
        <v>17</v>
      </c>
      <c r="BI11" s="69" t="s">
        <v>89</v>
      </c>
      <c r="BJ11" s="69" t="s">
        <v>90</v>
      </c>
    </row>
    <row r="12" spans="1:118" ht="33">
      <c r="A12" s="15" t="s">
        <v>34</v>
      </c>
      <c r="B12" s="3" t="s">
        <v>27</v>
      </c>
      <c r="C12" s="3" t="s">
        <v>27</v>
      </c>
      <c r="D12" s="3" t="s">
        <v>27</v>
      </c>
      <c r="E12" s="9" t="s">
        <v>27</v>
      </c>
      <c r="F12" s="3" t="s">
        <v>27</v>
      </c>
      <c r="G12" s="3" t="s">
        <v>27</v>
      </c>
      <c r="H12" s="3" t="s">
        <v>27</v>
      </c>
      <c r="I12" s="3" t="s">
        <v>27</v>
      </c>
      <c r="J12" s="61" t="s">
        <v>27</v>
      </c>
      <c r="K12" s="61" t="s">
        <v>27</v>
      </c>
      <c r="L12" s="61" t="s">
        <v>27</v>
      </c>
      <c r="M12" s="63" t="s">
        <v>27</v>
      </c>
      <c r="N12" s="61" t="s">
        <v>27</v>
      </c>
      <c r="O12" s="61" t="s">
        <v>27</v>
      </c>
      <c r="P12" s="61" t="s">
        <v>27</v>
      </c>
      <c r="Q12" s="61" t="s">
        <v>27</v>
      </c>
    </row>
    <row r="13" spans="1:118" s="27" customFormat="1" ht="33">
      <c r="A13" s="11" t="s">
        <v>35</v>
      </c>
      <c r="B13" s="4">
        <v>3</v>
      </c>
      <c r="C13" s="4">
        <v>3</v>
      </c>
      <c r="D13" s="4">
        <v>4</v>
      </c>
      <c r="E13" s="8">
        <v>4</v>
      </c>
      <c r="F13" s="4">
        <v>5</v>
      </c>
      <c r="G13" s="4">
        <v>5</v>
      </c>
      <c r="H13" s="4">
        <v>6</v>
      </c>
      <c r="I13" s="4">
        <v>6</v>
      </c>
      <c r="J13" s="64">
        <v>3</v>
      </c>
      <c r="K13" s="64">
        <v>3</v>
      </c>
      <c r="L13" s="64">
        <v>4</v>
      </c>
      <c r="M13" s="65">
        <v>4</v>
      </c>
      <c r="N13" s="64">
        <v>5</v>
      </c>
      <c r="O13" s="64">
        <v>5</v>
      </c>
      <c r="P13" s="64">
        <v>6</v>
      </c>
      <c r="Q13" s="64">
        <v>6</v>
      </c>
    </row>
    <row r="14" spans="1:118" ht="16.5">
      <c r="A14" s="10" t="s">
        <v>17</v>
      </c>
      <c r="B14" s="24" t="s">
        <v>14</v>
      </c>
      <c r="C14" s="24" t="s">
        <v>15</v>
      </c>
      <c r="D14" s="24" t="s">
        <v>14</v>
      </c>
      <c r="E14" s="30" t="s">
        <v>15</v>
      </c>
      <c r="F14" s="24" t="s">
        <v>14</v>
      </c>
      <c r="G14" s="30" t="s">
        <v>15</v>
      </c>
      <c r="H14" s="24" t="s">
        <v>14</v>
      </c>
      <c r="I14" s="30" t="s">
        <v>15</v>
      </c>
      <c r="J14" s="55" t="s">
        <v>14</v>
      </c>
      <c r="K14" s="55" t="s">
        <v>15</v>
      </c>
      <c r="L14" s="55" t="s">
        <v>14</v>
      </c>
      <c r="M14" s="66" t="s">
        <v>15</v>
      </c>
      <c r="N14" s="55" t="s">
        <v>14</v>
      </c>
      <c r="O14" s="55" t="s">
        <v>15</v>
      </c>
      <c r="P14" s="55" t="s">
        <v>14</v>
      </c>
      <c r="Q14" s="55" t="s">
        <v>15</v>
      </c>
    </row>
    <row r="15" spans="1:118" ht="16.5">
      <c r="A15" s="14" t="s">
        <v>68</v>
      </c>
      <c r="B15" s="14" t="s">
        <v>69</v>
      </c>
      <c r="C15" s="14" t="s">
        <v>69</v>
      </c>
      <c r="D15" s="14" t="s">
        <v>69</v>
      </c>
      <c r="E15" s="28" t="s">
        <v>69</v>
      </c>
      <c r="F15" s="14" t="s">
        <v>69</v>
      </c>
      <c r="G15" s="14" t="s">
        <v>69</v>
      </c>
      <c r="H15" s="14" t="s">
        <v>69</v>
      </c>
      <c r="I15" s="14" t="s">
        <v>69</v>
      </c>
      <c r="J15" s="67" t="s">
        <v>69</v>
      </c>
      <c r="K15" s="67" t="s">
        <v>69</v>
      </c>
      <c r="L15" s="67" t="s">
        <v>69</v>
      </c>
      <c r="M15" s="68" t="s">
        <v>69</v>
      </c>
      <c r="N15" s="67" t="s">
        <v>69</v>
      </c>
      <c r="O15" s="67" t="s">
        <v>69</v>
      </c>
      <c r="P15" s="67" t="s">
        <v>69</v>
      </c>
      <c r="Q15" s="67" t="s">
        <v>69</v>
      </c>
    </row>
    <row r="16" spans="1:118" ht="16.5">
      <c r="A16" s="7" t="s">
        <v>128</v>
      </c>
      <c r="B16" s="329">
        <v>102</v>
      </c>
      <c r="C16" s="329">
        <v>34</v>
      </c>
      <c r="D16" s="329">
        <v>98</v>
      </c>
      <c r="E16" s="329">
        <v>32</v>
      </c>
      <c r="F16" s="329">
        <v>84</v>
      </c>
      <c r="G16" s="329">
        <v>32</v>
      </c>
      <c r="H16" s="329">
        <v>78</v>
      </c>
      <c r="I16" s="329">
        <v>29</v>
      </c>
      <c r="J16" s="336">
        <v>2</v>
      </c>
      <c r="K16" s="336">
        <v>1</v>
      </c>
      <c r="L16" s="336">
        <v>2</v>
      </c>
      <c r="M16" s="336">
        <v>1</v>
      </c>
      <c r="N16" s="336">
        <v>2</v>
      </c>
      <c r="O16" s="336">
        <v>1</v>
      </c>
      <c r="P16" s="341">
        <v>10</v>
      </c>
      <c r="Q16" s="341">
        <v>4</v>
      </c>
    </row>
    <row r="17" spans="1:59" ht="16.5">
      <c r="A17" s="6" t="s">
        <v>129</v>
      </c>
      <c r="B17" s="329">
        <v>102</v>
      </c>
      <c r="C17" s="329">
        <v>32</v>
      </c>
      <c r="D17" s="329">
        <v>106</v>
      </c>
      <c r="E17" s="329">
        <v>32</v>
      </c>
      <c r="F17" s="329">
        <v>95</v>
      </c>
      <c r="G17" s="329">
        <v>32</v>
      </c>
      <c r="H17" s="329">
        <v>78</v>
      </c>
      <c r="I17" s="329">
        <v>27</v>
      </c>
      <c r="J17" s="336">
        <v>2</v>
      </c>
      <c r="K17" s="336">
        <v>1</v>
      </c>
      <c r="L17" s="336">
        <v>2</v>
      </c>
      <c r="M17" s="336">
        <v>1</v>
      </c>
      <c r="N17" s="336">
        <v>2</v>
      </c>
      <c r="O17" s="336">
        <v>1</v>
      </c>
      <c r="P17" s="341">
        <v>10</v>
      </c>
      <c r="Q17" s="341">
        <v>3</v>
      </c>
    </row>
    <row r="18" spans="1:59" ht="16.5">
      <c r="A18" s="7" t="s">
        <v>127</v>
      </c>
      <c r="B18" s="329">
        <v>83</v>
      </c>
      <c r="C18" s="329">
        <v>37</v>
      </c>
      <c r="D18" s="329">
        <v>76</v>
      </c>
      <c r="E18" s="329">
        <v>37</v>
      </c>
      <c r="F18" s="329">
        <v>70</v>
      </c>
      <c r="G18" s="329">
        <v>38</v>
      </c>
      <c r="H18" s="329">
        <v>64</v>
      </c>
      <c r="I18" s="329">
        <v>34</v>
      </c>
      <c r="J18" s="336">
        <v>2</v>
      </c>
      <c r="K18" s="336">
        <v>1</v>
      </c>
      <c r="L18" s="336">
        <v>2</v>
      </c>
      <c r="M18" s="336">
        <v>1</v>
      </c>
      <c r="N18" s="336">
        <v>2</v>
      </c>
      <c r="O18" s="336">
        <v>1</v>
      </c>
      <c r="P18" s="341">
        <v>8</v>
      </c>
      <c r="Q18" s="341">
        <v>4</v>
      </c>
    </row>
    <row r="19" spans="1:59" ht="16.5">
      <c r="A19" s="5" t="s">
        <v>12</v>
      </c>
      <c r="B19" s="334">
        <v>0</v>
      </c>
      <c r="C19" s="335">
        <v>0</v>
      </c>
      <c r="D19" s="335">
        <v>0</v>
      </c>
      <c r="E19" s="342">
        <v>0</v>
      </c>
      <c r="F19" s="343">
        <v>0</v>
      </c>
      <c r="G19" s="343">
        <v>0</v>
      </c>
      <c r="H19" s="335">
        <v>0</v>
      </c>
      <c r="I19" s="335">
        <v>0</v>
      </c>
      <c r="J19" s="339">
        <v>0</v>
      </c>
      <c r="K19" s="340">
        <v>0</v>
      </c>
      <c r="L19" s="340">
        <v>0</v>
      </c>
      <c r="M19" s="344">
        <v>0</v>
      </c>
      <c r="N19" s="341">
        <v>0</v>
      </c>
      <c r="O19" s="341">
        <v>0</v>
      </c>
      <c r="P19" s="340">
        <v>0</v>
      </c>
      <c r="Q19" s="340">
        <v>0</v>
      </c>
    </row>
    <row r="20" spans="1:59" ht="35.1" customHeight="1">
      <c r="J20" s="73"/>
      <c r="K20" s="73"/>
      <c r="L20" s="73"/>
      <c r="M20" s="73"/>
    </row>
    <row r="21" spans="1:59" ht="35.1" customHeight="1">
      <c r="J21" s="74"/>
      <c r="K21" s="74"/>
      <c r="L21" s="74"/>
      <c r="M21" s="74"/>
    </row>
    <row r="22" spans="1:59">
      <c r="H22" s="1"/>
      <c r="I22" s="1"/>
      <c r="J22" s="1"/>
      <c r="K22" s="1"/>
      <c r="L22" s="1"/>
      <c r="M22" s="1"/>
      <c r="N22" s="1"/>
      <c r="O22" s="29"/>
      <c r="P22" s="29"/>
      <c r="Q22" s="29"/>
      <c r="R22" s="31"/>
      <c r="S22" s="31"/>
    </row>
    <row r="23" spans="1:59">
      <c r="A23" s="69" t="s">
        <v>89</v>
      </c>
      <c r="B23" s="69" t="s">
        <v>141</v>
      </c>
      <c r="O23" s="1"/>
      <c r="P23" s="1"/>
      <c r="Q23" s="1"/>
      <c r="R23" s="1"/>
      <c r="S23" s="1"/>
    </row>
    <row r="24" spans="1:59" ht="17.25">
      <c r="A24" s="19">
        <v>1</v>
      </c>
      <c r="B24" s="19">
        <v>2</v>
      </c>
      <c r="C24" s="19">
        <v>3</v>
      </c>
      <c r="D24" s="19">
        <v>4</v>
      </c>
      <c r="E24" s="19">
        <v>5</v>
      </c>
      <c r="F24" s="19">
        <v>6</v>
      </c>
      <c r="G24" s="19">
        <v>7</v>
      </c>
      <c r="H24" s="19">
        <v>8</v>
      </c>
      <c r="I24" s="19">
        <v>9</v>
      </c>
      <c r="J24" s="19">
        <v>10</v>
      </c>
      <c r="K24" s="19">
        <v>11</v>
      </c>
      <c r="L24" s="19">
        <v>12</v>
      </c>
      <c r="M24" s="19">
        <v>13</v>
      </c>
      <c r="N24" s="19">
        <v>14</v>
      </c>
      <c r="O24" s="19">
        <v>15</v>
      </c>
      <c r="P24" s="19">
        <v>16</v>
      </c>
      <c r="Q24" s="19">
        <v>17</v>
      </c>
      <c r="R24" s="19">
        <v>18</v>
      </c>
      <c r="S24" s="19">
        <v>19</v>
      </c>
      <c r="T24" s="19">
        <v>20</v>
      </c>
      <c r="U24" s="19">
        <v>21</v>
      </c>
      <c r="V24" s="19">
        <v>22</v>
      </c>
      <c r="W24" s="19">
        <v>23</v>
      </c>
      <c r="X24" s="19">
        <v>24</v>
      </c>
      <c r="Y24" s="19">
        <v>25</v>
      </c>
      <c r="Z24" s="19">
        <v>26</v>
      </c>
      <c r="AA24" s="19">
        <v>27</v>
      </c>
      <c r="AB24" s="19">
        <v>28</v>
      </c>
      <c r="AC24" s="19">
        <v>29</v>
      </c>
      <c r="AD24" s="19">
        <v>30</v>
      </c>
      <c r="AE24" s="19">
        <v>31</v>
      </c>
      <c r="AF24" s="19">
        <v>32</v>
      </c>
      <c r="AG24" s="19">
        <v>33</v>
      </c>
      <c r="AH24" s="19">
        <v>34</v>
      </c>
      <c r="AI24" s="19">
        <v>35</v>
      </c>
      <c r="AJ24" s="19">
        <v>36</v>
      </c>
      <c r="AK24" s="19">
        <v>37</v>
      </c>
      <c r="AL24" s="19">
        <v>38</v>
      </c>
      <c r="AM24" s="19">
        <v>39</v>
      </c>
      <c r="AN24" s="19">
        <v>40</v>
      </c>
      <c r="AO24" s="19">
        <v>41</v>
      </c>
      <c r="AP24" s="19">
        <v>42</v>
      </c>
      <c r="AQ24" s="19">
        <v>43</v>
      </c>
      <c r="AR24" s="19">
        <v>44</v>
      </c>
      <c r="AS24" s="19">
        <v>45</v>
      </c>
      <c r="AT24" s="19">
        <v>46</v>
      </c>
      <c r="AU24" s="19">
        <v>47</v>
      </c>
      <c r="AV24" s="19">
        <v>48</v>
      </c>
      <c r="AW24" s="19">
        <v>49</v>
      </c>
      <c r="AX24" s="19">
        <v>50</v>
      </c>
      <c r="AY24" s="19">
        <v>51</v>
      </c>
      <c r="AZ24" s="19">
        <v>52</v>
      </c>
      <c r="BA24" s="19">
        <v>53</v>
      </c>
      <c r="BB24" s="19">
        <v>54</v>
      </c>
      <c r="BC24" s="19">
        <v>55</v>
      </c>
      <c r="BD24" s="19">
        <v>56</v>
      </c>
      <c r="BE24" s="19">
        <v>57</v>
      </c>
      <c r="BF24" s="19">
        <v>58</v>
      </c>
      <c r="BG24" s="19">
        <v>59</v>
      </c>
    </row>
    <row r="25" spans="1:59" ht="33">
      <c r="A25" s="15" t="s">
        <v>34</v>
      </c>
      <c r="B25" s="24" t="s">
        <v>21</v>
      </c>
      <c r="C25" s="24" t="s">
        <v>21</v>
      </c>
      <c r="D25" s="24" t="s">
        <v>49</v>
      </c>
      <c r="E25" s="24" t="s">
        <v>49</v>
      </c>
      <c r="F25" s="24" t="s">
        <v>20</v>
      </c>
      <c r="G25" s="24" t="s">
        <v>20</v>
      </c>
      <c r="H25" s="70" t="s">
        <v>22</v>
      </c>
      <c r="I25" s="24" t="s">
        <v>21</v>
      </c>
      <c r="J25" s="24" t="s">
        <v>21</v>
      </c>
      <c r="K25" s="24" t="s">
        <v>49</v>
      </c>
      <c r="L25" s="24" t="s">
        <v>49</v>
      </c>
      <c r="M25" s="24" t="s">
        <v>20</v>
      </c>
      <c r="N25" s="24" t="s">
        <v>20</v>
      </c>
      <c r="O25" s="70" t="s">
        <v>22</v>
      </c>
      <c r="P25" s="24" t="s">
        <v>19</v>
      </c>
      <c r="Q25" s="24" t="s">
        <v>19</v>
      </c>
      <c r="R25" s="24" t="s">
        <v>20</v>
      </c>
      <c r="S25" s="24" t="s">
        <v>20</v>
      </c>
      <c r="T25" s="24" t="s">
        <v>23</v>
      </c>
      <c r="U25" s="24" t="s">
        <v>23</v>
      </c>
      <c r="V25" s="24" t="s">
        <v>25</v>
      </c>
      <c r="W25" s="24" t="s">
        <v>25</v>
      </c>
      <c r="X25" s="70" t="s">
        <v>22</v>
      </c>
      <c r="Y25" s="70" t="s">
        <v>24</v>
      </c>
      <c r="Z25" s="70" t="s">
        <v>26</v>
      </c>
      <c r="AA25" s="24" t="s">
        <v>19</v>
      </c>
      <c r="AB25" s="24" t="s">
        <v>19</v>
      </c>
      <c r="AC25" s="24" t="s">
        <v>20</v>
      </c>
      <c r="AD25" s="24" t="s">
        <v>20</v>
      </c>
      <c r="AE25" s="24" t="s">
        <v>23</v>
      </c>
      <c r="AF25" s="24" t="s">
        <v>23</v>
      </c>
      <c r="AG25" s="24" t="s">
        <v>25</v>
      </c>
      <c r="AH25" s="24" t="s">
        <v>25</v>
      </c>
      <c r="AI25" s="70" t="s">
        <v>22</v>
      </c>
      <c r="AJ25" s="70" t="s">
        <v>24</v>
      </c>
      <c r="AK25" s="70" t="s">
        <v>26</v>
      </c>
      <c r="AL25" s="24" t="s">
        <v>19</v>
      </c>
      <c r="AM25" s="24" t="s">
        <v>19</v>
      </c>
      <c r="AN25" s="24" t="s">
        <v>20</v>
      </c>
      <c r="AO25" s="24" t="s">
        <v>20</v>
      </c>
      <c r="AP25" s="24" t="s">
        <v>23</v>
      </c>
      <c r="AQ25" s="24" t="s">
        <v>23</v>
      </c>
      <c r="AR25" s="24" t="s">
        <v>51</v>
      </c>
      <c r="AS25" s="24" t="s">
        <v>51</v>
      </c>
      <c r="AT25" s="70" t="s">
        <v>22</v>
      </c>
      <c r="AU25" s="70" t="s">
        <v>24</v>
      </c>
      <c r="AV25" s="70" t="s">
        <v>256</v>
      </c>
      <c r="AW25" s="24" t="s">
        <v>19</v>
      </c>
      <c r="AX25" s="24" t="s">
        <v>19</v>
      </c>
      <c r="AY25" s="24" t="s">
        <v>20</v>
      </c>
      <c r="AZ25" s="24" t="s">
        <v>20</v>
      </c>
      <c r="BA25" s="24" t="s">
        <v>23</v>
      </c>
      <c r="BB25" s="24" t="s">
        <v>23</v>
      </c>
      <c r="BC25" s="24" t="s">
        <v>51</v>
      </c>
      <c r="BD25" s="24" t="s">
        <v>51</v>
      </c>
      <c r="BE25" s="70" t="s">
        <v>22</v>
      </c>
      <c r="BF25" s="70" t="s">
        <v>24</v>
      </c>
      <c r="BG25" s="70" t="s">
        <v>256</v>
      </c>
    </row>
    <row r="26" spans="1:59" ht="33">
      <c r="A26" s="11" t="s">
        <v>35</v>
      </c>
      <c r="B26" s="25">
        <v>1</v>
      </c>
      <c r="C26" s="26">
        <v>1</v>
      </c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>
        <v>2</v>
      </c>
      <c r="J26" s="26">
        <v>2</v>
      </c>
      <c r="K26" s="26">
        <v>2</v>
      </c>
      <c r="L26" s="26">
        <v>2</v>
      </c>
      <c r="M26" s="26">
        <v>2</v>
      </c>
      <c r="N26" s="26">
        <v>2</v>
      </c>
      <c r="O26" s="26">
        <v>2</v>
      </c>
      <c r="P26" s="26">
        <v>3</v>
      </c>
      <c r="Q26" s="26">
        <v>3</v>
      </c>
      <c r="R26" s="26">
        <v>3</v>
      </c>
      <c r="S26" s="26">
        <v>3</v>
      </c>
      <c r="T26" s="26">
        <v>3</v>
      </c>
      <c r="U26" s="26">
        <v>3</v>
      </c>
      <c r="V26" s="26">
        <v>3</v>
      </c>
      <c r="W26" s="26">
        <v>3</v>
      </c>
      <c r="X26" s="26">
        <v>3</v>
      </c>
      <c r="Y26" s="26">
        <v>3</v>
      </c>
      <c r="Z26" s="26">
        <v>3</v>
      </c>
      <c r="AA26" s="26">
        <v>4</v>
      </c>
      <c r="AB26" s="26">
        <v>4</v>
      </c>
      <c r="AC26" s="26">
        <v>4</v>
      </c>
      <c r="AD26" s="26">
        <v>4</v>
      </c>
      <c r="AE26" s="26">
        <v>4</v>
      </c>
      <c r="AF26" s="26">
        <v>4</v>
      </c>
      <c r="AG26" s="26">
        <v>4</v>
      </c>
      <c r="AH26" s="26">
        <v>4</v>
      </c>
      <c r="AI26" s="26">
        <v>4</v>
      </c>
      <c r="AJ26" s="26">
        <v>4</v>
      </c>
      <c r="AK26" s="26">
        <v>4</v>
      </c>
      <c r="AL26" s="26">
        <v>5</v>
      </c>
      <c r="AM26" s="26">
        <v>5</v>
      </c>
      <c r="AN26" s="26">
        <v>5</v>
      </c>
      <c r="AO26" s="26">
        <v>5</v>
      </c>
      <c r="AP26" s="26">
        <v>5</v>
      </c>
      <c r="AQ26" s="26">
        <v>5</v>
      </c>
      <c r="AR26" s="26">
        <v>5</v>
      </c>
      <c r="AS26" s="26">
        <v>5</v>
      </c>
      <c r="AT26" s="26">
        <v>5</v>
      </c>
      <c r="AU26" s="26">
        <v>5</v>
      </c>
      <c r="AV26" s="26">
        <v>5</v>
      </c>
      <c r="AW26" s="26">
        <v>6</v>
      </c>
      <c r="AX26" s="26">
        <v>6</v>
      </c>
      <c r="AY26" s="26">
        <v>6</v>
      </c>
      <c r="AZ26" s="26">
        <v>6</v>
      </c>
      <c r="BA26" s="26">
        <v>6</v>
      </c>
      <c r="BB26" s="26">
        <v>6</v>
      </c>
      <c r="BC26" s="26">
        <v>6</v>
      </c>
      <c r="BD26" s="26">
        <v>6</v>
      </c>
      <c r="BE26" s="26">
        <v>6</v>
      </c>
      <c r="BF26" s="26">
        <v>6</v>
      </c>
      <c r="BG26" s="26">
        <v>6</v>
      </c>
    </row>
    <row r="27" spans="1:59" ht="16.5">
      <c r="A27" s="10" t="s">
        <v>17</v>
      </c>
      <c r="B27" s="23" t="s">
        <v>14</v>
      </c>
      <c r="C27" s="24" t="s">
        <v>15</v>
      </c>
      <c r="D27" s="24" t="s">
        <v>14</v>
      </c>
      <c r="E27" s="24" t="s">
        <v>15</v>
      </c>
      <c r="F27" s="24" t="s">
        <v>14</v>
      </c>
      <c r="G27" s="24" t="s">
        <v>15</v>
      </c>
      <c r="H27" s="24" t="s">
        <v>14</v>
      </c>
      <c r="I27" s="24" t="s">
        <v>14</v>
      </c>
      <c r="J27" s="24" t="s">
        <v>15</v>
      </c>
      <c r="K27" s="24" t="s">
        <v>14</v>
      </c>
      <c r="L27" s="24" t="s">
        <v>15</v>
      </c>
      <c r="M27" s="24" t="s">
        <v>14</v>
      </c>
      <c r="N27" s="24" t="s">
        <v>15</v>
      </c>
      <c r="O27" s="24" t="s">
        <v>14</v>
      </c>
      <c r="P27" s="24" t="s">
        <v>14</v>
      </c>
      <c r="Q27" s="24" t="s">
        <v>15</v>
      </c>
      <c r="R27" s="24" t="s">
        <v>14</v>
      </c>
      <c r="S27" s="24" t="s">
        <v>14</v>
      </c>
      <c r="T27" s="24" t="s">
        <v>15</v>
      </c>
      <c r="U27" s="24" t="s">
        <v>14</v>
      </c>
      <c r="V27" s="24" t="s">
        <v>15</v>
      </c>
      <c r="W27" s="24" t="s">
        <v>14</v>
      </c>
      <c r="X27" s="24" t="s">
        <v>15</v>
      </c>
      <c r="Y27" s="24" t="s">
        <v>14</v>
      </c>
      <c r="Z27" s="24" t="s">
        <v>14</v>
      </c>
      <c r="AA27" s="24" t="s">
        <v>14</v>
      </c>
      <c r="AB27" s="24" t="s">
        <v>15</v>
      </c>
      <c r="AC27" s="24" t="s">
        <v>14</v>
      </c>
      <c r="AD27" s="24" t="s">
        <v>15</v>
      </c>
      <c r="AE27" s="24" t="s">
        <v>14</v>
      </c>
      <c r="AF27" s="24" t="s">
        <v>15</v>
      </c>
      <c r="AG27" s="24" t="s">
        <v>14</v>
      </c>
      <c r="AH27" s="24" t="s">
        <v>15</v>
      </c>
      <c r="AI27" s="24" t="s">
        <v>14</v>
      </c>
      <c r="AJ27" s="24" t="s">
        <v>14</v>
      </c>
      <c r="AK27" s="24" t="s">
        <v>14</v>
      </c>
      <c r="AL27" s="24" t="s">
        <v>14</v>
      </c>
      <c r="AM27" s="24" t="s">
        <v>15</v>
      </c>
      <c r="AN27" s="24" t="s">
        <v>14</v>
      </c>
      <c r="AO27" s="24" t="s">
        <v>15</v>
      </c>
      <c r="AP27" s="24" t="s">
        <v>14</v>
      </c>
      <c r="AQ27" s="24" t="s">
        <v>15</v>
      </c>
      <c r="AR27" s="24" t="s">
        <v>14</v>
      </c>
      <c r="AS27" s="24" t="s">
        <v>15</v>
      </c>
      <c r="AT27" s="24" t="s">
        <v>14</v>
      </c>
      <c r="AU27" s="24" t="s">
        <v>14</v>
      </c>
      <c r="AV27" s="24" t="s">
        <v>14</v>
      </c>
      <c r="AW27" s="24" t="s">
        <v>14</v>
      </c>
      <c r="AX27" s="24" t="s">
        <v>15</v>
      </c>
      <c r="AY27" s="24" t="s">
        <v>14</v>
      </c>
      <c r="AZ27" s="24" t="s">
        <v>15</v>
      </c>
      <c r="BA27" s="24" t="s">
        <v>14</v>
      </c>
      <c r="BB27" s="24" t="s">
        <v>15</v>
      </c>
      <c r="BC27" s="24" t="s">
        <v>14</v>
      </c>
      <c r="BD27" s="24" t="s">
        <v>15</v>
      </c>
      <c r="BE27" s="24" t="s">
        <v>14</v>
      </c>
      <c r="BF27" s="24" t="s">
        <v>14</v>
      </c>
      <c r="BG27" s="24" t="s">
        <v>14</v>
      </c>
    </row>
    <row r="28" spans="1:59" ht="16.5">
      <c r="A28" s="16" t="s">
        <v>68</v>
      </c>
      <c r="B28" s="10" t="s">
        <v>69</v>
      </c>
      <c r="C28" s="10" t="s">
        <v>69</v>
      </c>
      <c r="D28" s="10" t="s">
        <v>69</v>
      </c>
      <c r="E28" s="10" t="s">
        <v>69</v>
      </c>
      <c r="F28" s="10" t="s">
        <v>69</v>
      </c>
      <c r="G28" s="10" t="s">
        <v>69</v>
      </c>
      <c r="H28" s="10" t="s">
        <v>69</v>
      </c>
      <c r="I28" s="10" t="s">
        <v>69</v>
      </c>
      <c r="J28" s="10" t="s">
        <v>69</v>
      </c>
      <c r="K28" s="10" t="s">
        <v>69</v>
      </c>
      <c r="L28" s="10" t="s">
        <v>69</v>
      </c>
      <c r="M28" s="10" t="s">
        <v>69</v>
      </c>
      <c r="N28" s="10" t="s">
        <v>69</v>
      </c>
      <c r="O28" s="10" t="s">
        <v>69</v>
      </c>
      <c r="P28" s="10" t="s">
        <v>69</v>
      </c>
      <c r="Q28" s="10" t="s">
        <v>69</v>
      </c>
      <c r="R28" s="10" t="s">
        <v>69</v>
      </c>
      <c r="S28" s="10" t="s">
        <v>69</v>
      </c>
      <c r="T28" s="10" t="s">
        <v>69</v>
      </c>
      <c r="U28" s="10" t="s">
        <v>69</v>
      </c>
      <c r="V28" s="10" t="s">
        <v>69</v>
      </c>
      <c r="W28" s="10" t="s">
        <v>69</v>
      </c>
      <c r="X28" s="10" t="s">
        <v>69</v>
      </c>
      <c r="Y28" s="10" t="s">
        <v>69</v>
      </c>
      <c r="Z28" s="10" t="s">
        <v>69</v>
      </c>
      <c r="AA28" s="10" t="s">
        <v>69</v>
      </c>
      <c r="AB28" s="10" t="s">
        <v>69</v>
      </c>
      <c r="AC28" s="10" t="s">
        <v>69</v>
      </c>
      <c r="AD28" s="10" t="s">
        <v>69</v>
      </c>
      <c r="AE28" s="10" t="s">
        <v>69</v>
      </c>
      <c r="AF28" s="10" t="s">
        <v>69</v>
      </c>
      <c r="AG28" s="10" t="s">
        <v>69</v>
      </c>
      <c r="AH28" s="10" t="s">
        <v>69</v>
      </c>
      <c r="AI28" s="10" t="s">
        <v>69</v>
      </c>
      <c r="AJ28" s="10" t="s">
        <v>69</v>
      </c>
      <c r="AK28" s="10" t="s">
        <v>69</v>
      </c>
      <c r="AL28" s="10" t="s">
        <v>69</v>
      </c>
      <c r="AM28" s="10" t="s">
        <v>69</v>
      </c>
      <c r="AN28" s="10" t="s">
        <v>69</v>
      </c>
      <c r="AO28" s="10" t="s">
        <v>69</v>
      </c>
      <c r="AP28" s="10" t="s">
        <v>69</v>
      </c>
      <c r="AQ28" s="10" t="s">
        <v>69</v>
      </c>
      <c r="AR28" s="10" t="s">
        <v>69</v>
      </c>
      <c r="AS28" s="10" t="s">
        <v>69</v>
      </c>
      <c r="AT28" s="10" t="s">
        <v>69</v>
      </c>
      <c r="AU28" s="10" t="s">
        <v>69</v>
      </c>
      <c r="AV28" s="10" t="s">
        <v>69</v>
      </c>
      <c r="AW28" s="10" t="s">
        <v>69</v>
      </c>
      <c r="AX28" s="10" t="s">
        <v>69</v>
      </c>
      <c r="AY28" s="10" t="s">
        <v>69</v>
      </c>
      <c r="AZ28" s="10" t="s">
        <v>69</v>
      </c>
      <c r="BA28" s="10" t="s">
        <v>69</v>
      </c>
      <c r="BB28" s="10" t="s">
        <v>69</v>
      </c>
      <c r="BC28" s="10" t="s">
        <v>69</v>
      </c>
      <c r="BD28" s="10" t="s">
        <v>69</v>
      </c>
      <c r="BE28" s="10" t="s">
        <v>69</v>
      </c>
      <c r="BF28" s="10" t="s">
        <v>69</v>
      </c>
      <c r="BG28" s="10" t="s">
        <v>69</v>
      </c>
    </row>
    <row r="29" spans="1:59" ht="16.5">
      <c r="A29" s="12" t="s">
        <v>36</v>
      </c>
      <c r="B29" s="345">
        <v>171</v>
      </c>
      <c r="C29" s="345">
        <v>56</v>
      </c>
      <c r="D29" s="345">
        <v>161</v>
      </c>
      <c r="E29" s="345">
        <v>105</v>
      </c>
      <c r="F29" s="345">
        <v>88</v>
      </c>
      <c r="G29" s="345">
        <v>189</v>
      </c>
      <c r="H29" s="345">
        <v>107</v>
      </c>
      <c r="I29" s="345">
        <v>118</v>
      </c>
      <c r="J29" s="345">
        <v>41</v>
      </c>
      <c r="K29" s="345">
        <v>113</v>
      </c>
      <c r="L29" s="345">
        <v>67</v>
      </c>
      <c r="M29" s="345">
        <v>95</v>
      </c>
      <c r="N29" s="345">
        <v>160</v>
      </c>
      <c r="O29" s="345">
        <v>84</v>
      </c>
      <c r="P29" s="345">
        <v>107</v>
      </c>
      <c r="Q29" s="345">
        <v>65</v>
      </c>
      <c r="R29" s="345">
        <v>97</v>
      </c>
      <c r="S29" s="345">
        <v>191</v>
      </c>
      <c r="T29" s="345">
        <v>88</v>
      </c>
      <c r="U29" s="345">
        <v>42</v>
      </c>
      <c r="V29" s="345">
        <v>86</v>
      </c>
      <c r="W29" s="345">
        <v>38</v>
      </c>
      <c r="X29" s="345">
        <v>112</v>
      </c>
      <c r="Y29" s="345">
        <v>58</v>
      </c>
      <c r="Z29" s="345">
        <v>159</v>
      </c>
      <c r="AA29" s="345">
        <v>112</v>
      </c>
      <c r="AB29" s="345">
        <v>65</v>
      </c>
      <c r="AC29" s="345">
        <v>95</v>
      </c>
      <c r="AD29" s="345">
        <v>186</v>
      </c>
      <c r="AE29" s="345">
        <v>81</v>
      </c>
      <c r="AF29" s="345">
        <v>42</v>
      </c>
      <c r="AG29" s="345">
        <v>112</v>
      </c>
      <c r="AH29" s="345">
        <v>31</v>
      </c>
      <c r="AI29" s="345">
        <v>112</v>
      </c>
      <c r="AJ29" s="345">
        <v>56</v>
      </c>
      <c r="AK29" s="345">
        <v>155</v>
      </c>
      <c r="AL29" s="345">
        <v>105</v>
      </c>
      <c r="AM29" s="345">
        <v>65</v>
      </c>
      <c r="AN29" s="345">
        <v>105</v>
      </c>
      <c r="AO29" s="345">
        <v>200</v>
      </c>
      <c r="AP29" s="345">
        <v>88</v>
      </c>
      <c r="AQ29" s="345">
        <v>42</v>
      </c>
      <c r="AR29" s="345">
        <v>107</v>
      </c>
      <c r="AS29" s="345">
        <v>26</v>
      </c>
      <c r="AT29" s="345">
        <v>121</v>
      </c>
      <c r="AU29" s="345">
        <v>54</v>
      </c>
      <c r="AV29" s="345">
        <v>157</v>
      </c>
      <c r="AW29" s="345">
        <v>102</v>
      </c>
      <c r="AX29" s="345">
        <v>65</v>
      </c>
      <c r="AY29" s="345">
        <v>91</v>
      </c>
      <c r="AZ29" s="345">
        <v>134</v>
      </c>
      <c r="BA29" s="345">
        <v>91</v>
      </c>
      <c r="BB29" s="345">
        <v>51</v>
      </c>
      <c r="BC29" s="345">
        <v>107</v>
      </c>
      <c r="BD29" s="345">
        <v>23</v>
      </c>
      <c r="BE29" s="345">
        <v>154</v>
      </c>
      <c r="BF29" s="345">
        <v>63</v>
      </c>
      <c r="BG29" s="345">
        <v>163</v>
      </c>
    </row>
    <row r="30" spans="1:59" ht="16.5">
      <c r="A30" s="13" t="s">
        <v>10</v>
      </c>
      <c r="B30" s="345">
        <v>104</v>
      </c>
      <c r="C30" s="345">
        <v>41</v>
      </c>
      <c r="D30" s="345">
        <v>148</v>
      </c>
      <c r="E30" s="345">
        <v>99</v>
      </c>
      <c r="F30" s="345">
        <v>93</v>
      </c>
      <c r="G30" s="345">
        <v>210</v>
      </c>
      <c r="H30" s="345">
        <v>74</v>
      </c>
      <c r="I30" s="345">
        <v>104</v>
      </c>
      <c r="J30" s="345">
        <v>31</v>
      </c>
      <c r="K30" s="345">
        <v>96</v>
      </c>
      <c r="L30" s="345">
        <v>65</v>
      </c>
      <c r="M30" s="345">
        <v>100</v>
      </c>
      <c r="N30" s="345">
        <v>164</v>
      </c>
      <c r="O30" s="345">
        <v>108</v>
      </c>
      <c r="P30" s="345">
        <v>105</v>
      </c>
      <c r="Q30" s="345">
        <v>56</v>
      </c>
      <c r="R30" s="345">
        <v>107</v>
      </c>
      <c r="S30" s="345">
        <v>216</v>
      </c>
      <c r="T30" s="345">
        <v>85</v>
      </c>
      <c r="U30" s="345">
        <v>38</v>
      </c>
      <c r="V30" s="345">
        <v>71</v>
      </c>
      <c r="W30" s="345">
        <v>27</v>
      </c>
      <c r="X30" s="345">
        <v>105</v>
      </c>
      <c r="Y30" s="345">
        <v>61</v>
      </c>
      <c r="Z30" s="345">
        <v>126</v>
      </c>
      <c r="AA30" s="345">
        <v>120</v>
      </c>
      <c r="AB30" s="345">
        <v>56</v>
      </c>
      <c r="AC30" s="345">
        <v>109</v>
      </c>
      <c r="AD30" s="345">
        <v>173</v>
      </c>
      <c r="AE30" s="345">
        <v>81</v>
      </c>
      <c r="AF30" s="345">
        <v>35</v>
      </c>
      <c r="AG30" s="345">
        <v>90</v>
      </c>
      <c r="AH30" s="345">
        <v>29</v>
      </c>
      <c r="AI30" s="345">
        <v>127</v>
      </c>
      <c r="AJ30" s="345">
        <v>56</v>
      </c>
      <c r="AK30" s="345">
        <v>139</v>
      </c>
      <c r="AL30" s="345">
        <v>93</v>
      </c>
      <c r="AM30" s="345">
        <v>51</v>
      </c>
      <c r="AN30" s="345">
        <v>112</v>
      </c>
      <c r="AO30" s="345">
        <v>180</v>
      </c>
      <c r="AP30" s="345">
        <v>93</v>
      </c>
      <c r="AQ30" s="345">
        <v>42</v>
      </c>
      <c r="AR30" s="345">
        <v>99</v>
      </c>
      <c r="AS30" s="345">
        <v>21</v>
      </c>
      <c r="AT30" s="345">
        <v>135</v>
      </c>
      <c r="AU30" s="345">
        <v>68</v>
      </c>
      <c r="AV30" s="345">
        <v>129</v>
      </c>
      <c r="AW30" s="345">
        <v>107</v>
      </c>
      <c r="AX30" s="345">
        <v>58</v>
      </c>
      <c r="AY30" s="345">
        <v>107</v>
      </c>
      <c r="AZ30" s="345">
        <v>137</v>
      </c>
      <c r="BA30" s="345">
        <v>74</v>
      </c>
      <c r="BB30" s="345">
        <v>37</v>
      </c>
      <c r="BC30" s="345">
        <v>84</v>
      </c>
      <c r="BD30" s="345">
        <v>20</v>
      </c>
      <c r="BE30" s="345">
        <v>126</v>
      </c>
      <c r="BF30" s="345">
        <v>64</v>
      </c>
      <c r="BG30" s="345">
        <v>132</v>
      </c>
    </row>
    <row r="31" spans="1:59" ht="16.5">
      <c r="A31" s="13" t="s">
        <v>11</v>
      </c>
      <c r="B31" s="345">
        <v>114</v>
      </c>
      <c r="C31" s="345">
        <v>37</v>
      </c>
      <c r="D31" s="345">
        <v>132</v>
      </c>
      <c r="E31" s="345">
        <v>81</v>
      </c>
      <c r="F31" s="345">
        <v>102</v>
      </c>
      <c r="G31" s="346">
        <v>151</v>
      </c>
      <c r="H31" s="345">
        <v>76</v>
      </c>
      <c r="I31" s="345">
        <v>117</v>
      </c>
      <c r="J31" s="345">
        <v>23</v>
      </c>
      <c r="K31" s="345">
        <v>107</v>
      </c>
      <c r="L31" s="345">
        <v>54</v>
      </c>
      <c r="M31" s="345">
        <v>93</v>
      </c>
      <c r="N31" s="345">
        <v>171</v>
      </c>
      <c r="O31" s="345">
        <v>83</v>
      </c>
      <c r="P31" s="345">
        <v>97</v>
      </c>
      <c r="Q31" s="345">
        <v>55</v>
      </c>
      <c r="R31" s="345">
        <v>89</v>
      </c>
      <c r="S31" s="345">
        <v>220</v>
      </c>
      <c r="T31" s="345">
        <v>74</v>
      </c>
      <c r="U31" s="345">
        <v>30</v>
      </c>
      <c r="V31" s="345">
        <v>72</v>
      </c>
      <c r="W31" s="345">
        <v>26</v>
      </c>
      <c r="X31" s="345">
        <v>100</v>
      </c>
      <c r="Y31" s="345">
        <v>51</v>
      </c>
      <c r="Z31" s="347" t="s">
        <v>268</v>
      </c>
      <c r="AA31" s="345">
        <v>107</v>
      </c>
      <c r="AB31" s="345">
        <v>61</v>
      </c>
      <c r="AC31" s="345">
        <v>99</v>
      </c>
      <c r="AD31" s="345">
        <v>175</v>
      </c>
      <c r="AE31" s="345">
        <v>75</v>
      </c>
      <c r="AF31" s="345">
        <v>37</v>
      </c>
      <c r="AG31" s="345">
        <v>93</v>
      </c>
      <c r="AH31" s="345">
        <v>21</v>
      </c>
      <c r="AI31" s="345">
        <v>111</v>
      </c>
      <c r="AJ31" s="345">
        <v>53</v>
      </c>
      <c r="AK31" s="347" t="s">
        <v>268</v>
      </c>
      <c r="AL31" s="345">
        <v>95</v>
      </c>
      <c r="AM31" s="345">
        <v>61</v>
      </c>
      <c r="AN31" s="346">
        <v>98</v>
      </c>
      <c r="AO31" s="345">
        <v>196</v>
      </c>
      <c r="AP31" s="345">
        <v>83</v>
      </c>
      <c r="AQ31" s="345">
        <v>34</v>
      </c>
      <c r="AR31" s="345">
        <v>85</v>
      </c>
      <c r="AS31" s="345">
        <v>21</v>
      </c>
      <c r="AT31" s="345">
        <v>109</v>
      </c>
      <c r="AU31" s="345">
        <v>61</v>
      </c>
      <c r="AV31" s="347" t="s">
        <v>268</v>
      </c>
      <c r="AW31" s="345">
        <v>102</v>
      </c>
      <c r="AX31" s="345">
        <v>60</v>
      </c>
      <c r="AY31" s="345">
        <v>82</v>
      </c>
      <c r="AZ31" s="345">
        <v>129</v>
      </c>
      <c r="BA31" s="345">
        <v>88</v>
      </c>
      <c r="BB31" s="345">
        <v>36</v>
      </c>
      <c r="BC31" s="345">
        <v>114</v>
      </c>
      <c r="BD31" s="345">
        <v>24</v>
      </c>
      <c r="BE31" s="345">
        <v>113</v>
      </c>
      <c r="BF31" s="345">
        <v>57</v>
      </c>
      <c r="BG31" s="345">
        <v>0</v>
      </c>
    </row>
    <row r="32" spans="1:59" ht="16.5">
      <c r="A32" s="14" t="s">
        <v>12</v>
      </c>
      <c r="B32" s="334">
        <v>0</v>
      </c>
      <c r="C32" s="334">
        <v>0</v>
      </c>
      <c r="D32" s="334">
        <v>0</v>
      </c>
      <c r="E32" s="334">
        <v>0</v>
      </c>
      <c r="F32" s="334">
        <v>0</v>
      </c>
      <c r="G32" s="334">
        <v>0</v>
      </c>
      <c r="H32" s="334">
        <v>0</v>
      </c>
      <c r="I32" s="334">
        <v>0</v>
      </c>
      <c r="J32" s="334">
        <v>0</v>
      </c>
      <c r="K32" s="334">
        <v>0</v>
      </c>
      <c r="L32" s="334">
        <v>0</v>
      </c>
      <c r="M32" s="334">
        <v>0</v>
      </c>
      <c r="N32" s="334">
        <v>0</v>
      </c>
      <c r="O32" s="334">
        <v>0</v>
      </c>
      <c r="P32" s="334">
        <v>0</v>
      </c>
      <c r="Q32" s="334">
        <v>0</v>
      </c>
      <c r="R32" s="334">
        <v>0</v>
      </c>
      <c r="S32" s="334">
        <v>0</v>
      </c>
      <c r="T32" s="334">
        <v>0</v>
      </c>
      <c r="U32" s="334">
        <v>0</v>
      </c>
      <c r="V32" s="334">
        <v>0</v>
      </c>
      <c r="W32" s="334">
        <v>0</v>
      </c>
      <c r="X32" s="334">
        <v>0</v>
      </c>
      <c r="Y32" s="334">
        <v>0</v>
      </c>
      <c r="Z32" s="334">
        <v>0</v>
      </c>
      <c r="AA32" s="334">
        <v>0</v>
      </c>
      <c r="AB32" s="334">
        <v>0</v>
      </c>
      <c r="AC32" s="334">
        <v>0</v>
      </c>
      <c r="AD32" s="334">
        <v>0</v>
      </c>
      <c r="AE32" s="334">
        <v>0</v>
      </c>
      <c r="AF32" s="334">
        <v>0</v>
      </c>
      <c r="AG32" s="334">
        <v>0</v>
      </c>
      <c r="AH32" s="334">
        <v>0</v>
      </c>
      <c r="AI32" s="334">
        <v>0</v>
      </c>
      <c r="AJ32" s="334">
        <v>0</v>
      </c>
      <c r="AK32" s="334">
        <v>0</v>
      </c>
      <c r="AL32" s="334">
        <v>0</v>
      </c>
      <c r="AM32" s="334">
        <v>0</v>
      </c>
      <c r="AN32" s="334">
        <v>0</v>
      </c>
      <c r="AO32" s="334">
        <v>0</v>
      </c>
      <c r="AP32" s="334">
        <v>0</v>
      </c>
      <c r="AQ32" s="334">
        <v>0</v>
      </c>
      <c r="AR32" s="334">
        <v>0</v>
      </c>
      <c r="AS32" s="334">
        <v>0</v>
      </c>
      <c r="AT32" s="334">
        <v>0</v>
      </c>
      <c r="AU32" s="334">
        <v>0</v>
      </c>
      <c r="AV32" s="334">
        <v>0</v>
      </c>
      <c r="AW32" s="334">
        <v>0</v>
      </c>
      <c r="AX32" s="334">
        <v>0</v>
      </c>
      <c r="AY32" s="334">
        <v>0</v>
      </c>
      <c r="AZ32" s="334">
        <v>0</v>
      </c>
      <c r="BA32" s="334">
        <v>0</v>
      </c>
      <c r="BB32" s="334">
        <v>0</v>
      </c>
      <c r="BC32" s="334">
        <v>0</v>
      </c>
      <c r="BD32" s="334">
        <v>0</v>
      </c>
      <c r="BE32" s="334">
        <v>0</v>
      </c>
      <c r="BF32" s="334">
        <v>0</v>
      </c>
      <c r="BG32" s="335">
        <v>0</v>
      </c>
    </row>
    <row r="34" spans="1:10" ht="17.25">
      <c r="A34" s="19">
        <v>1</v>
      </c>
      <c r="B34" s="19">
        <v>2</v>
      </c>
      <c r="C34" s="19">
        <v>3</v>
      </c>
      <c r="D34" s="19">
        <v>4</v>
      </c>
      <c r="E34" s="19">
        <v>5</v>
      </c>
      <c r="F34" s="19">
        <v>6</v>
      </c>
      <c r="G34" s="19">
        <v>7</v>
      </c>
      <c r="H34" s="19">
        <v>8</v>
      </c>
      <c r="I34" s="19">
        <v>9</v>
      </c>
      <c r="J34" s="19"/>
    </row>
    <row r="35" spans="1:10" ht="33">
      <c r="A35" s="15" t="s">
        <v>34</v>
      </c>
      <c r="B35" s="3" t="s">
        <v>27</v>
      </c>
      <c r="C35" s="3" t="s">
        <v>27</v>
      </c>
      <c r="D35" s="3" t="s">
        <v>27</v>
      </c>
      <c r="E35" s="9" t="s">
        <v>27</v>
      </c>
      <c r="F35" s="3" t="s">
        <v>27</v>
      </c>
      <c r="G35" s="3" t="s">
        <v>27</v>
      </c>
      <c r="H35" s="3" t="s">
        <v>27</v>
      </c>
      <c r="I35" s="3" t="s">
        <v>27</v>
      </c>
    </row>
    <row r="36" spans="1:10" ht="33">
      <c r="A36" s="11" t="s">
        <v>35</v>
      </c>
      <c r="B36" s="4">
        <v>3</v>
      </c>
      <c r="C36" s="4">
        <v>3</v>
      </c>
      <c r="D36" s="4">
        <v>4</v>
      </c>
      <c r="E36" s="8">
        <v>4</v>
      </c>
      <c r="F36" s="4">
        <v>5</v>
      </c>
      <c r="G36" s="4">
        <v>5</v>
      </c>
      <c r="H36" s="4">
        <v>6</v>
      </c>
      <c r="I36" s="4">
        <v>6</v>
      </c>
    </row>
    <row r="37" spans="1:10" ht="16.5">
      <c r="A37" s="10" t="s">
        <v>17</v>
      </c>
      <c r="B37" s="24" t="s">
        <v>14</v>
      </c>
      <c r="C37" s="24" t="s">
        <v>15</v>
      </c>
      <c r="D37" s="24" t="s">
        <v>14</v>
      </c>
      <c r="E37" s="30" t="s">
        <v>15</v>
      </c>
      <c r="F37" s="24" t="s">
        <v>14</v>
      </c>
      <c r="G37" s="24" t="s">
        <v>15</v>
      </c>
      <c r="H37" s="24" t="s">
        <v>14</v>
      </c>
      <c r="I37" s="24" t="s">
        <v>15</v>
      </c>
    </row>
    <row r="38" spans="1:10" ht="16.5">
      <c r="A38" s="14" t="s">
        <v>68</v>
      </c>
      <c r="B38" s="14" t="s">
        <v>69</v>
      </c>
      <c r="C38" s="14" t="s">
        <v>69</v>
      </c>
      <c r="D38" s="14" t="s">
        <v>69</v>
      </c>
      <c r="E38" s="28" t="s">
        <v>69</v>
      </c>
      <c r="F38" s="14" t="s">
        <v>69</v>
      </c>
      <c r="G38" s="14" t="s">
        <v>69</v>
      </c>
      <c r="H38" s="14" t="s">
        <v>69</v>
      </c>
      <c r="I38" s="14" t="s">
        <v>69</v>
      </c>
    </row>
    <row r="39" spans="1:10" ht="15.75">
      <c r="A39" s="7" t="s">
        <v>36</v>
      </c>
      <c r="B39" s="348">
        <v>104</v>
      </c>
      <c r="C39" s="348">
        <v>35</v>
      </c>
      <c r="D39" s="348">
        <v>100</v>
      </c>
      <c r="E39" s="348">
        <v>33</v>
      </c>
      <c r="F39" s="348">
        <v>86</v>
      </c>
      <c r="G39" s="348">
        <v>33</v>
      </c>
      <c r="H39" s="348">
        <v>88</v>
      </c>
      <c r="I39" s="348">
        <v>33</v>
      </c>
    </row>
    <row r="40" spans="1:10" ht="15.75">
      <c r="A40" s="6" t="s">
        <v>10</v>
      </c>
      <c r="B40" s="348">
        <v>104</v>
      </c>
      <c r="C40" s="348">
        <v>33</v>
      </c>
      <c r="D40" s="348">
        <v>108</v>
      </c>
      <c r="E40" s="348">
        <v>33</v>
      </c>
      <c r="F40" s="348">
        <v>97</v>
      </c>
      <c r="G40" s="348">
        <v>33</v>
      </c>
      <c r="H40" s="348">
        <v>88</v>
      </c>
      <c r="I40" s="348">
        <v>30</v>
      </c>
    </row>
    <row r="41" spans="1:10" ht="15.75">
      <c r="A41" s="7" t="s">
        <v>127</v>
      </c>
      <c r="B41" s="348">
        <v>85</v>
      </c>
      <c r="C41" s="348">
        <v>38</v>
      </c>
      <c r="D41" s="348">
        <v>78</v>
      </c>
      <c r="E41" s="348">
        <v>38</v>
      </c>
      <c r="F41" s="348">
        <v>72</v>
      </c>
      <c r="G41" s="348">
        <v>39</v>
      </c>
      <c r="H41" s="348">
        <v>72</v>
      </c>
      <c r="I41" s="348">
        <v>38</v>
      </c>
    </row>
    <row r="42" spans="1:10" ht="16.5">
      <c r="A42" s="5" t="s">
        <v>12</v>
      </c>
      <c r="B42" s="349">
        <v>0</v>
      </c>
      <c r="C42" s="350">
        <v>0</v>
      </c>
      <c r="D42" s="349">
        <v>0</v>
      </c>
      <c r="E42" s="350">
        <v>0</v>
      </c>
      <c r="F42" s="349">
        <v>0</v>
      </c>
      <c r="G42" s="350">
        <v>0</v>
      </c>
      <c r="H42" s="350">
        <v>0</v>
      </c>
      <c r="I42" s="350"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6"/>
  <dimension ref="A1:B2"/>
  <sheetViews>
    <sheetView workbookViewId="0"/>
  </sheetViews>
  <sheetFormatPr defaultRowHeight="14.25"/>
  <cols>
    <col min="1" max="2" width="40.33203125" bestFit="1" customWidth="1"/>
  </cols>
  <sheetData>
    <row r="1" spans="1:2">
      <c r="A1" t="s">
        <v>4</v>
      </c>
      <c r="B1" t="s">
        <v>5</v>
      </c>
    </row>
    <row r="2" spans="1:2">
      <c r="A2" t="s">
        <v>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4</vt:i4>
      </vt:variant>
    </vt:vector>
  </HeadingPairs>
  <TitlesOfParts>
    <vt:vector size="10" baseType="lpstr">
      <vt:lpstr>統計表 </vt:lpstr>
      <vt:lpstr>汰換年相反</vt:lpstr>
      <vt:lpstr>花東B表</vt:lpstr>
      <vt:lpstr>單價表</vt:lpstr>
      <vt:lpstr>工作表2</vt:lpstr>
      <vt:lpstr>抬頭</vt:lpstr>
      <vt:lpstr>汰換年相反!Print_Area</vt:lpstr>
      <vt:lpstr>'統計表 '!Print_Area</vt:lpstr>
      <vt:lpstr>版本</vt:lpstr>
      <vt:lpstr>英語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教育處-006</cp:lastModifiedBy>
  <cp:lastPrinted>2023-11-15T08:05:02Z</cp:lastPrinted>
  <dcterms:created xsi:type="dcterms:W3CDTF">2021-09-05T06:51:06Z</dcterms:created>
  <dcterms:modified xsi:type="dcterms:W3CDTF">2024-08-28T05:10:05Z</dcterms:modified>
</cp:coreProperties>
</file>