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3" yWindow="5034" windowWidth="24067" windowHeight="5084"/>
  </bookViews>
  <sheets>
    <sheet name="統計表" sheetId="4" r:id="rId1"/>
    <sheet name="AB表" sheetId="8" r:id="rId2"/>
    <sheet name="單價表" sheetId="9" r:id="rId3"/>
    <sheet name="試算表(參考用)" sheetId="1" r:id="rId4"/>
    <sheet name="工作表2" sheetId="7" state="hidden" r:id="rId5"/>
    <sheet name="抬頭" sheetId="2" state="hidden" r:id="rId6"/>
  </sheets>
  <externalReferences>
    <externalReference r:id="rId7"/>
  </externalReferences>
  <definedNames>
    <definedName name="_xlnm._FilterDatabase" localSheetId="3" hidden="1">'試算表(參考用)'!$J$4:$J$215</definedName>
    <definedName name="_xlnm.Print_Area" localSheetId="0">統計表!$A$1:$U$28</definedName>
    <definedName name="_xlnm.Print_Titles" localSheetId="3">'試算表(參考用)'!$A:$D,'試算表(參考用)'!$1:$4</definedName>
    <definedName name="三年級英語">工作表2!$DW$4:$DW$7</definedName>
    <definedName name="六年級英語">工作表2!$EK$4:$EK$10</definedName>
    <definedName name="四五年級英語">工作表2!$EB$4:$EB$9</definedName>
    <definedName name="版本" localSheetId="1">[1]工作表3!$A$5:$A$11</definedName>
    <definedName name="版本">工作表2!$A$4:$A$7</definedName>
    <definedName name="臺北市市立松山國小書籍需求統計" localSheetId="1">#REF!</definedName>
    <definedName name="臺北市市立松山國小書籍需求統計">'試算表(參考用)'!#REF!</definedName>
  </definedNames>
  <calcPr calcId="144525"/>
</workbook>
</file>

<file path=xl/calcChain.xml><?xml version="1.0" encoding="utf-8"?>
<calcChain xmlns="http://schemas.openxmlformats.org/spreadsheetml/2006/main">
  <c r="G224" i="1" l="1"/>
  <c r="G223" i="1"/>
  <c r="A5" i="8" l="1"/>
  <c r="H40" i="8" l="1"/>
  <c r="M5" i="8" s="1"/>
  <c r="G40" i="8"/>
  <c r="F40" i="8"/>
  <c r="E40" i="8"/>
  <c r="D40" i="8"/>
  <c r="J5" i="8" s="1"/>
  <c r="L5" i="8" s="1"/>
  <c r="K5" i="8"/>
  <c r="G5" i="8"/>
  <c r="F5" i="8"/>
  <c r="H5" i="8" s="1"/>
  <c r="I5" i="8" s="1"/>
  <c r="E5" i="8"/>
  <c r="AN15" i="4" l="1"/>
  <c r="AM15" i="4"/>
  <c r="AM13" i="4"/>
  <c r="AN13" i="4"/>
  <c r="AN11" i="4"/>
  <c r="AM11" i="4"/>
  <c r="AN9" i="4"/>
  <c r="AM9" i="4"/>
  <c r="AQ9" i="4" l="1"/>
  <c r="AQ11" i="4"/>
  <c r="AQ13" i="4"/>
  <c r="AQ15" i="4"/>
  <c r="AP15" i="4"/>
  <c r="AP13" i="4"/>
  <c r="AP11" i="4"/>
  <c r="AP9" i="4"/>
  <c r="AO15" i="4"/>
  <c r="AO13" i="4"/>
  <c r="AO11" i="4"/>
  <c r="AO9" i="4"/>
  <c r="AL15" i="4"/>
  <c r="AK15" i="4"/>
  <c r="AL13" i="4"/>
  <c r="AK13" i="4"/>
  <c r="AL11" i="4"/>
  <c r="AK11" i="4"/>
  <c r="AL9" i="4"/>
  <c r="AK9" i="4"/>
  <c r="AJ9" i="4"/>
  <c r="AI9" i="4"/>
  <c r="AJ11" i="4"/>
  <c r="AI11" i="4"/>
  <c r="AJ13" i="4"/>
  <c r="AI13" i="4"/>
  <c r="AJ15" i="4"/>
  <c r="AI15" i="4"/>
  <c r="AH13" i="4"/>
  <c r="AG13" i="4"/>
  <c r="AH15" i="4"/>
  <c r="AG15" i="4"/>
  <c r="AH11" i="4"/>
  <c r="AG11" i="4"/>
  <c r="AH9" i="4"/>
  <c r="AG9" i="4"/>
  <c r="AF15" i="4"/>
  <c r="AE15" i="4"/>
  <c r="AF13" i="4"/>
  <c r="AE13" i="4"/>
  <c r="AF11" i="4"/>
  <c r="AE11" i="4"/>
  <c r="AF9" i="4"/>
  <c r="AE9" i="4"/>
  <c r="AO7" i="4"/>
  <c r="AH7" i="4"/>
  <c r="AG7" i="4"/>
  <c r="AF7" i="4"/>
  <c r="AE7" i="4"/>
  <c r="AO5" i="4"/>
  <c r="AH5" i="4"/>
  <c r="AG5" i="4"/>
  <c r="AF5" i="4"/>
  <c r="AD7" i="4"/>
  <c r="AC7" i="4"/>
  <c r="AD5" i="4"/>
  <c r="AC5" i="4"/>
  <c r="AE5" i="4"/>
  <c r="AQ14" i="4"/>
  <c r="AQ12" i="4"/>
  <c r="AQ10" i="4"/>
  <c r="AQ8" i="4"/>
  <c r="AP14" i="4"/>
  <c r="AP12" i="4"/>
  <c r="AP10" i="4"/>
  <c r="AP8" i="4"/>
  <c r="AO14" i="4"/>
  <c r="AO12" i="4"/>
  <c r="AO10" i="4"/>
  <c r="AO8" i="4"/>
  <c r="AO6" i="4"/>
  <c r="AO4" i="4"/>
  <c r="AM14" i="4"/>
  <c r="AM12" i="4"/>
  <c r="AM10" i="4"/>
  <c r="AM8" i="4"/>
  <c r="AK14" i="4"/>
  <c r="AK12" i="4"/>
  <c r="AK10" i="4"/>
  <c r="AK8" i="4"/>
  <c r="AI14" i="4"/>
  <c r="AI12" i="4"/>
  <c r="AI10" i="4"/>
  <c r="AI8" i="4"/>
  <c r="AG14" i="4"/>
  <c r="AG12" i="4"/>
  <c r="AG10" i="4"/>
  <c r="AG8" i="4"/>
  <c r="AG6" i="4"/>
  <c r="AG4" i="4"/>
  <c r="AE14" i="4"/>
  <c r="AE12" i="4"/>
  <c r="AE10" i="4"/>
  <c r="AE8" i="4"/>
  <c r="AE6" i="4"/>
  <c r="AE4" i="4"/>
  <c r="AC6" i="4"/>
  <c r="AC4" i="4"/>
  <c r="AR10" i="4" l="1"/>
  <c r="AR5" i="4"/>
  <c r="AR7" i="4"/>
  <c r="AR13" i="4"/>
  <c r="AR11" i="4"/>
  <c r="AR15" i="4"/>
  <c r="AR9" i="4"/>
  <c r="AR14" i="4"/>
  <c r="AR4" i="4"/>
  <c r="AR8" i="4"/>
  <c r="AR12" i="4"/>
  <c r="AR6" i="4"/>
  <c r="Y213" i="1"/>
  <c r="Y212" i="1"/>
  <c r="Y149" i="1"/>
  <c r="Y148" i="1"/>
  <c r="Y147" i="1"/>
  <c r="Y146" i="1"/>
  <c r="Y145" i="1"/>
  <c r="Y144" i="1"/>
  <c r="Y143" i="1"/>
  <c r="Y142" i="1"/>
  <c r="Y141" i="1"/>
  <c r="Y140" i="1"/>
  <c r="Y139" i="1"/>
  <c r="Y138" i="1"/>
  <c r="Y137" i="1"/>
  <c r="Y136" i="1"/>
  <c r="Y135" i="1"/>
  <c r="Y134" i="1"/>
  <c r="Y133" i="1"/>
  <c r="Y132" i="1"/>
  <c r="Y131" i="1"/>
  <c r="Y130" i="1"/>
  <c r="Y129" i="1"/>
  <c r="Y128" i="1"/>
  <c r="Y127" i="1"/>
  <c r="Y126" i="1"/>
  <c r="Y125" i="1"/>
  <c r="Y124" i="1"/>
  <c r="Y123" i="1"/>
  <c r="Y122" i="1"/>
  <c r="Y121" i="1"/>
  <c r="Y120" i="1"/>
  <c r="Y119" i="1"/>
  <c r="Y118" i="1"/>
  <c r="Y117" i="1"/>
  <c r="Y116" i="1"/>
  <c r="Y115" i="1"/>
  <c r="Y114" i="1"/>
  <c r="Y113" i="1"/>
  <c r="Y112" i="1"/>
  <c r="Y111" i="1"/>
  <c r="Y110" i="1"/>
  <c r="Y109" i="1"/>
  <c r="Y108" i="1"/>
  <c r="Y107" i="1"/>
  <c r="Y106" i="1"/>
  <c r="Y105" i="1"/>
  <c r="Y104" i="1"/>
  <c r="Y103" i="1"/>
  <c r="Y102" i="1"/>
  <c r="Y101" i="1"/>
  <c r="Y100" i="1"/>
  <c r="Y99" i="1"/>
  <c r="Y98" i="1"/>
  <c r="Y97" i="1"/>
  <c r="Y96" i="1"/>
  <c r="Y95" i="1"/>
  <c r="Y94" i="1"/>
  <c r="Y93" i="1"/>
  <c r="Y92" i="1"/>
  <c r="Y91" i="1"/>
  <c r="Y90" i="1"/>
  <c r="Y89" i="1"/>
  <c r="Y88" i="1"/>
  <c r="Y87" i="1"/>
  <c r="Y86" i="1"/>
  <c r="V149" i="1"/>
  <c r="T149" i="1"/>
  <c r="Q149" i="1"/>
  <c r="Z149" i="1" s="1"/>
  <c r="N149" i="1"/>
  <c r="P149" i="1" s="1"/>
  <c r="V148" i="1"/>
  <c r="T148" i="1"/>
  <c r="Q148" i="1"/>
  <c r="Z148" i="1" s="1"/>
  <c r="N148" i="1"/>
  <c r="V147" i="1"/>
  <c r="T147" i="1"/>
  <c r="Q147" i="1"/>
  <c r="N147" i="1"/>
  <c r="V146" i="1"/>
  <c r="T146" i="1"/>
  <c r="Q146" i="1"/>
  <c r="Z146" i="1" s="1"/>
  <c r="N146" i="1"/>
  <c r="R146" i="1" s="1"/>
  <c r="V145" i="1"/>
  <c r="T145" i="1"/>
  <c r="Q145" i="1"/>
  <c r="N145" i="1"/>
  <c r="P145" i="1" s="1"/>
  <c r="V144" i="1"/>
  <c r="T144" i="1"/>
  <c r="Q144" i="1"/>
  <c r="Z144" i="1" s="1"/>
  <c r="N144" i="1"/>
  <c r="P144" i="1" s="1"/>
  <c r="V143" i="1"/>
  <c r="T143" i="1"/>
  <c r="Q143" i="1"/>
  <c r="N143" i="1"/>
  <c r="V142" i="1"/>
  <c r="T142" i="1"/>
  <c r="Q142" i="1"/>
  <c r="Z142" i="1" s="1"/>
  <c r="N142" i="1"/>
  <c r="R142" i="1" s="1"/>
  <c r="V141" i="1"/>
  <c r="T141" i="1"/>
  <c r="Q141" i="1"/>
  <c r="N141" i="1"/>
  <c r="P141" i="1" s="1"/>
  <c r="V140" i="1"/>
  <c r="T140" i="1"/>
  <c r="Q140" i="1"/>
  <c r="Z140" i="1" s="1"/>
  <c r="N140" i="1"/>
  <c r="R140" i="1" s="1"/>
  <c r="V139" i="1"/>
  <c r="T139" i="1"/>
  <c r="Q139" i="1"/>
  <c r="N139" i="1"/>
  <c r="P139" i="1" s="1"/>
  <c r="V138" i="1"/>
  <c r="T138" i="1"/>
  <c r="Q138" i="1"/>
  <c r="Z138" i="1" s="1"/>
  <c r="N138" i="1"/>
  <c r="P138" i="1" s="1"/>
  <c r="V137" i="1"/>
  <c r="T137" i="1"/>
  <c r="Q137" i="1"/>
  <c r="Z137" i="1" s="1"/>
  <c r="N137" i="1"/>
  <c r="P137" i="1" s="1"/>
  <c r="V136" i="1"/>
  <c r="T136" i="1"/>
  <c r="Q136" i="1"/>
  <c r="Z136" i="1" s="1"/>
  <c r="N136" i="1"/>
  <c r="R136" i="1" s="1"/>
  <c r="V135" i="1"/>
  <c r="T135" i="1"/>
  <c r="Q135" i="1"/>
  <c r="N135" i="1"/>
  <c r="V134" i="1"/>
  <c r="T134" i="1"/>
  <c r="Q134" i="1"/>
  <c r="Z134" i="1" s="1"/>
  <c r="N134" i="1"/>
  <c r="R134" i="1" s="1"/>
  <c r="V133" i="1"/>
  <c r="T133" i="1"/>
  <c r="Q133" i="1"/>
  <c r="N133" i="1"/>
  <c r="V132" i="1"/>
  <c r="T132" i="1"/>
  <c r="Q132" i="1"/>
  <c r="Z132" i="1" s="1"/>
  <c r="N132" i="1"/>
  <c r="R132" i="1" s="1"/>
  <c r="V131" i="1"/>
  <c r="T131" i="1"/>
  <c r="Q131" i="1"/>
  <c r="N131" i="1"/>
  <c r="V130" i="1"/>
  <c r="T130" i="1"/>
  <c r="Q130" i="1"/>
  <c r="Z130" i="1" s="1"/>
  <c r="N130" i="1"/>
  <c r="V129" i="1"/>
  <c r="T129" i="1"/>
  <c r="Q129" i="1"/>
  <c r="N129" i="1"/>
  <c r="P129" i="1" s="1"/>
  <c r="V128" i="1"/>
  <c r="T128" i="1"/>
  <c r="Q128" i="1"/>
  <c r="Z128" i="1" s="1"/>
  <c r="N128" i="1"/>
  <c r="P128" i="1" s="1"/>
  <c r="V127" i="1"/>
  <c r="T127" i="1"/>
  <c r="Q127" i="1"/>
  <c r="N127" i="1"/>
  <c r="P127" i="1" s="1"/>
  <c r="V126" i="1"/>
  <c r="T126" i="1"/>
  <c r="Q126" i="1"/>
  <c r="Z126" i="1" s="1"/>
  <c r="N126" i="1"/>
  <c r="P126" i="1" s="1"/>
  <c r="V125" i="1"/>
  <c r="T125" i="1"/>
  <c r="Q125" i="1"/>
  <c r="N125" i="1"/>
  <c r="P125" i="1" s="1"/>
  <c r="V124" i="1"/>
  <c r="T124" i="1"/>
  <c r="Q124" i="1"/>
  <c r="Z124" i="1" s="1"/>
  <c r="N124" i="1"/>
  <c r="R124" i="1" s="1"/>
  <c r="V123" i="1"/>
  <c r="T123" i="1"/>
  <c r="Q123" i="1"/>
  <c r="N123" i="1"/>
  <c r="V122" i="1"/>
  <c r="T122" i="1"/>
  <c r="Q122" i="1"/>
  <c r="Z122" i="1" s="1"/>
  <c r="N122" i="1"/>
  <c r="P122" i="1" s="1"/>
  <c r="V121" i="1"/>
  <c r="T121" i="1"/>
  <c r="Q121" i="1"/>
  <c r="N121" i="1"/>
  <c r="V120" i="1"/>
  <c r="T120" i="1"/>
  <c r="Q120" i="1"/>
  <c r="Z120" i="1" s="1"/>
  <c r="N120" i="1"/>
  <c r="P120" i="1" s="1"/>
  <c r="V119" i="1"/>
  <c r="T119" i="1"/>
  <c r="Q119" i="1"/>
  <c r="N119" i="1"/>
  <c r="P119" i="1" s="1"/>
  <c r="V118" i="1"/>
  <c r="T118" i="1"/>
  <c r="Q118" i="1"/>
  <c r="Z118" i="1" s="1"/>
  <c r="N118" i="1"/>
  <c r="P118" i="1" s="1"/>
  <c r="V117" i="1"/>
  <c r="T117" i="1"/>
  <c r="Q117" i="1"/>
  <c r="N117" i="1"/>
  <c r="P117" i="1" s="1"/>
  <c r="V116" i="1"/>
  <c r="T116" i="1"/>
  <c r="Q116" i="1"/>
  <c r="Z116" i="1" s="1"/>
  <c r="N116" i="1"/>
  <c r="P116" i="1" s="1"/>
  <c r="V115" i="1"/>
  <c r="T115" i="1"/>
  <c r="Q115" i="1"/>
  <c r="N115" i="1"/>
  <c r="P115" i="1" s="1"/>
  <c r="V114" i="1"/>
  <c r="T114" i="1"/>
  <c r="Q114" i="1"/>
  <c r="Z114" i="1" s="1"/>
  <c r="N114" i="1"/>
  <c r="P114" i="1" s="1"/>
  <c r="V113" i="1"/>
  <c r="T113" i="1"/>
  <c r="Q113" i="1"/>
  <c r="Z113" i="1" s="1"/>
  <c r="N113" i="1"/>
  <c r="P113" i="1" s="1"/>
  <c r="V112" i="1"/>
  <c r="T112" i="1"/>
  <c r="Q112" i="1"/>
  <c r="Z112" i="1" s="1"/>
  <c r="N112" i="1"/>
  <c r="R112" i="1" s="1"/>
  <c r="V111" i="1"/>
  <c r="T111" i="1"/>
  <c r="Q111" i="1"/>
  <c r="N111" i="1"/>
  <c r="R111" i="1" s="1"/>
  <c r="V110" i="1"/>
  <c r="T110" i="1"/>
  <c r="Q110" i="1"/>
  <c r="N110" i="1"/>
  <c r="V109" i="1"/>
  <c r="T109" i="1"/>
  <c r="Q109" i="1"/>
  <c r="Z109" i="1" s="1"/>
  <c r="N109" i="1"/>
  <c r="V108" i="1"/>
  <c r="T108" i="1"/>
  <c r="Q108" i="1"/>
  <c r="Z108" i="1" s="1"/>
  <c r="N108" i="1"/>
  <c r="P108" i="1" s="1"/>
  <c r="V107" i="1"/>
  <c r="T107" i="1"/>
  <c r="Q107" i="1"/>
  <c r="N107" i="1"/>
  <c r="V106" i="1"/>
  <c r="T106" i="1"/>
  <c r="Q106" i="1"/>
  <c r="Z106" i="1" s="1"/>
  <c r="N106" i="1"/>
  <c r="R106" i="1" s="1"/>
  <c r="V105" i="1"/>
  <c r="T105" i="1"/>
  <c r="Q105" i="1"/>
  <c r="N105" i="1"/>
  <c r="P105" i="1" s="1"/>
  <c r="V104" i="1"/>
  <c r="T104" i="1"/>
  <c r="Q104" i="1"/>
  <c r="Z104" i="1" s="1"/>
  <c r="N104" i="1"/>
  <c r="P104" i="1" s="1"/>
  <c r="V103" i="1"/>
  <c r="T103" i="1"/>
  <c r="Q103" i="1"/>
  <c r="N103" i="1"/>
  <c r="P103" i="1" s="1"/>
  <c r="V102" i="1"/>
  <c r="T102" i="1"/>
  <c r="Q102" i="1"/>
  <c r="Z102" i="1" s="1"/>
  <c r="N102" i="1"/>
  <c r="V101" i="1"/>
  <c r="T101" i="1"/>
  <c r="Q101" i="1"/>
  <c r="Z101" i="1" s="1"/>
  <c r="N101" i="1"/>
  <c r="P101" i="1" s="1"/>
  <c r="V100" i="1"/>
  <c r="T100" i="1"/>
  <c r="Q100" i="1"/>
  <c r="Z100" i="1" s="1"/>
  <c r="N100" i="1"/>
  <c r="R100" i="1" s="1"/>
  <c r="V99" i="1"/>
  <c r="T99" i="1"/>
  <c r="Q99" i="1"/>
  <c r="N99" i="1"/>
  <c r="V98" i="1"/>
  <c r="T98" i="1"/>
  <c r="Q98" i="1"/>
  <c r="Z98" i="1" s="1"/>
  <c r="N98" i="1"/>
  <c r="P98" i="1" s="1"/>
  <c r="V97" i="1"/>
  <c r="T97" i="1"/>
  <c r="Q97" i="1"/>
  <c r="N97" i="1"/>
  <c r="V96" i="1"/>
  <c r="T96" i="1"/>
  <c r="Q96" i="1"/>
  <c r="Z96" i="1" s="1"/>
  <c r="N96" i="1"/>
  <c r="P96" i="1" s="1"/>
  <c r="V95" i="1"/>
  <c r="T95" i="1"/>
  <c r="Q95" i="1"/>
  <c r="N95" i="1"/>
  <c r="P95" i="1" s="1"/>
  <c r="V94" i="1"/>
  <c r="T94" i="1"/>
  <c r="Q94" i="1"/>
  <c r="Z94" i="1" s="1"/>
  <c r="N94" i="1"/>
  <c r="R94" i="1" s="1"/>
  <c r="V93" i="1"/>
  <c r="T93" i="1"/>
  <c r="Q93" i="1"/>
  <c r="N93" i="1"/>
  <c r="P93" i="1" s="1"/>
  <c r="V92" i="1"/>
  <c r="T92" i="1"/>
  <c r="Q92" i="1"/>
  <c r="Z92" i="1" s="1"/>
  <c r="N92" i="1"/>
  <c r="P92" i="1" s="1"/>
  <c r="V91" i="1"/>
  <c r="T91" i="1"/>
  <c r="Q91" i="1"/>
  <c r="N91" i="1"/>
  <c r="P91" i="1" s="1"/>
  <c r="V90" i="1"/>
  <c r="T90" i="1"/>
  <c r="Q90" i="1"/>
  <c r="Z90" i="1" s="1"/>
  <c r="N90" i="1"/>
  <c r="R90" i="1" s="1"/>
  <c r="V89" i="1"/>
  <c r="T89" i="1"/>
  <c r="Q89" i="1"/>
  <c r="N89" i="1"/>
  <c r="P89" i="1" s="1"/>
  <c r="V88" i="1"/>
  <c r="T88" i="1"/>
  <c r="Q88" i="1"/>
  <c r="Z88" i="1" s="1"/>
  <c r="N88" i="1"/>
  <c r="P88" i="1" s="1"/>
  <c r="V87" i="1"/>
  <c r="T87" i="1"/>
  <c r="Q87" i="1"/>
  <c r="N87" i="1"/>
  <c r="V86" i="1"/>
  <c r="T86" i="1"/>
  <c r="Q86" i="1"/>
  <c r="Z86" i="1" s="1"/>
  <c r="N86" i="1"/>
  <c r="R86" i="1" s="1"/>
  <c r="V213" i="1"/>
  <c r="T213" i="1"/>
  <c r="Q213" i="1"/>
  <c r="Z213" i="1" s="1"/>
  <c r="V212" i="1"/>
  <c r="T212" i="1"/>
  <c r="Q212" i="1"/>
  <c r="Z212" i="1" s="1"/>
  <c r="N213" i="1"/>
  <c r="N212" i="1"/>
  <c r="P212" i="1" s="1"/>
  <c r="L216" i="1"/>
  <c r="I216" i="1"/>
  <c r="M15" i="4"/>
  <c r="L15" i="4"/>
  <c r="M13" i="4"/>
  <c r="L13" i="4"/>
  <c r="M11" i="4"/>
  <c r="L11" i="4"/>
  <c r="M9" i="4"/>
  <c r="L9" i="4"/>
  <c r="P15" i="4"/>
  <c r="O15" i="4"/>
  <c r="N15" i="4"/>
  <c r="K15" i="4"/>
  <c r="J15" i="4"/>
  <c r="I15" i="4"/>
  <c r="H15" i="4"/>
  <c r="G15" i="4"/>
  <c r="F15" i="4"/>
  <c r="P13" i="4"/>
  <c r="O13" i="4"/>
  <c r="N13" i="4"/>
  <c r="K13" i="4"/>
  <c r="J13" i="4"/>
  <c r="I13" i="4"/>
  <c r="H13" i="4"/>
  <c r="G13" i="4"/>
  <c r="F13" i="4"/>
  <c r="P11" i="4"/>
  <c r="O11" i="4"/>
  <c r="N11" i="4"/>
  <c r="K11" i="4"/>
  <c r="J11" i="4"/>
  <c r="I11" i="4"/>
  <c r="H11" i="4"/>
  <c r="G11" i="4"/>
  <c r="F11" i="4"/>
  <c r="P9" i="4"/>
  <c r="O9" i="4"/>
  <c r="N9" i="4"/>
  <c r="K9" i="4"/>
  <c r="J9" i="4"/>
  <c r="I9" i="4"/>
  <c r="H9" i="4"/>
  <c r="G9" i="4"/>
  <c r="F9" i="4"/>
  <c r="E15" i="4"/>
  <c r="D15" i="4"/>
  <c r="E13" i="4"/>
  <c r="D13" i="4"/>
  <c r="E11" i="4"/>
  <c r="D11" i="4"/>
  <c r="E9" i="4"/>
  <c r="D9" i="4"/>
  <c r="G7" i="4"/>
  <c r="F7" i="4"/>
  <c r="E7" i="4"/>
  <c r="D7" i="4"/>
  <c r="N7" i="4"/>
  <c r="X5" i="4" s="1"/>
  <c r="C7" i="4"/>
  <c r="B7" i="4"/>
  <c r="N5" i="4"/>
  <c r="X4" i="4" s="1"/>
  <c r="F5" i="4"/>
  <c r="G5" i="4"/>
  <c r="E5" i="4"/>
  <c r="D5" i="4"/>
  <c r="C5" i="4"/>
  <c r="B5" i="4"/>
  <c r="T14" i="4"/>
  <c r="T12" i="4"/>
  <c r="T10" i="4"/>
  <c r="T8" i="4"/>
  <c r="T6" i="4"/>
  <c r="T4" i="4"/>
  <c r="Q215" i="1"/>
  <c r="Z215" i="1" s="1"/>
  <c r="Q214" i="1"/>
  <c r="Z214" i="1" s="1"/>
  <c r="Q211" i="1"/>
  <c r="Q210" i="1"/>
  <c r="Z210" i="1" s="1"/>
  <c r="Q209" i="1"/>
  <c r="Z209" i="1" s="1"/>
  <c r="Q208" i="1"/>
  <c r="Z208" i="1" s="1"/>
  <c r="Q207" i="1"/>
  <c r="Z207" i="1" s="1"/>
  <c r="Q206" i="1"/>
  <c r="Z206" i="1" s="1"/>
  <c r="Q205" i="1"/>
  <c r="Z205" i="1" s="1"/>
  <c r="Q204" i="1"/>
  <c r="Z204" i="1" s="1"/>
  <c r="Q203" i="1"/>
  <c r="Z203" i="1" s="1"/>
  <c r="Q202" i="1"/>
  <c r="Z202" i="1" s="1"/>
  <c r="Q201" i="1"/>
  <c r="Z201" i="1" s="1"/>
  <c r="Q200" i="1"/>
  <c r="Z200" i="1" s="1"/>
  <c r="Q199" i="1"/>
  <c r="Z199" i="1" s="1"/>
  <c r="Q198" i="1"/>
  <c r="Z198" i="1" s="1"/>
  <c r="Q197" i="1"/>
  <c r="Z197" i="1" s="1"/>
  <c r="Q196" i="1"/>
  <c r="Z196" i="1" s="1"/>
  <c r="Q195" i="1"/>
  <c r="Q194" i="1"/>
  <c r="Z194" i="1" s="1"/>
  <c r="Q193" i="1"/>
  <c r="Z193" i="1" s="1"/>
  <c r="Q192" i="1"/>
  <c r="Z192" i="1" s="1"/>
  <c r="Q191" i="1"/>
  <c r="Z191" i="1" s="1"/>
  <c r="Q190" i="1"/>
  <c r="Z190" i="1" s="1"/>
  <c r="Q189" i="1"/>
  <c r="Z189" i="1" s="1"/>
  <c r="Q188" i="1"/>
  <c r="Z188" i="1" s="1"/>
  <c r="Q187" i="1"/>
  <c r="Z187" i="1" s="1"/>
  <c r="Q186" i="1"/>
  <c r="Z186" i="1" s="1"/>
  <c r="Q185" i="1"/>
  <c r="Q184" i="1"/>
  <c r="Z184" i="1" s="1"/>
  <c r="Q183" i="1"/>
  <c r="Z183" i="1" s="1"/>
  <c r="Q182" i="1"/>
  <c r="Z182" i="1" s="1"/>
  <c r="Q181" i="1"/>
  <c r="Z181" i="1" s="1"/>
  <c r="Q180" i="1"/>
  <c r="Z180" i="1" s="1"/>
  <c r="Q179" i="1"/>
  <c r="Z179" i="1" s="1"/>
  <c r="Q178" i="1"/>
  <c r="Z178" i="1" s="1"/>
  <c r="Q177" i="1"/>
  <c r="Z177" i="1" s="1"/>
  <c r="Q176" i="1"/>
  <c r="Z176" i="1" s="1"/>
  <c r="Q175" i="1"/>
  <c r="Z175" i="1" s="1"/>
  <c r="Q174" i="1"/>
  <c r="Z174" i="1" s="1"/>
  <c r="Q173" i="1"/>
  <c r="Z173" i="1" s="1"/>
  <c r="Q172" i="1"/>
  <c r="Z172" i="1" s="1"/>
  <c r="Q171" i="1"/>
  <c r="Z171" i="1" s="1"/>
  <c r="Q170" i="1"/>
  <c r="Z170" i="1" s="1"/>
  <c r="Q169" i="1"/>
  <c r="Z169" i="1" s="1"/>
  <c r="Q168" i="1"/>
  <c r="Z168" i="1" s="1"/>
  <c r="Q167" i="1"/>
  <c r="Z167" i="1" s="1"/>
  <c r="Q166" i="1"/>
  <c r="Z166" i="1" s="1"/>
  <c r="Q165" i="1"/>
  <c r="Z165" i="1" s="1"/>
  <c r="Q164" i="1"/>
  <c r="Z164" i="1" s="1"/>
  <c r="Q163" i="1"/>
  <c r="Z163" i="1" s="1"/>
  <c r="Q162" i="1"/>
  <c r="Z162" i="1" s="1"/>
  <c r="Q161" i="1"/>
  <c r="Q160" i="1"/>
  <c r="Z160" i="1" s="1"/>
  <c r="Q159" i="1"/>
  <c r="Z159" i="1" s="1"/>
  <c r="Q158" i="1"/>
  <c r="Z158" i="1" s="1"/>
  <c r="Q157" i="1"/>
  <c r="Z157" i="1" s="1"/>
  <c r="Q156" i="1"/>
  <c r="Z156" i="1" s="1"/>
  <c r="Q155" i="1"/>
  <c r="Z155" i="1" s="1"/>
  <c r="Q154" i="1"/>
  <c r="Z154" i="1" s="1"/>
  <c r="Q153" i="1"/>
  <c r="Z153" i="1" s="1"/>
  <c r="Q152" i="1"/>
  <c r="Z152" i="1" s="1"/>
  <c r="Q151" i="1"/>
  <c r="Z151" i="1" s="1"/>
  <c r="Q150" i="1"/>
  <c r="Z150" i="1" s="1"/>
  <c r="Q85" i="1"/>
  <c r="Z85" i="1" s="1"/>
  <c r="Q84" i="1"/>
  <c r="Z84" i="1" s="1"/>
  <c r="Q83" i="1"/>
  <c r="Z83" i="1" s="1"/>
  <c r="Q82" i="1"/>
  <c r="Z82" i="1" s="1"/>
  <c r="Q81" i="1"/>
  <c r="Z81" i="1" s="1"/>
  <c r="Q80" i="1"/>
  <c r="Z80" i="1" s="1"/>
  <c r="Q79" i="1"/>
  <c r="Z79" i="1" s="1"/>
  <c r="Q78" i="1"/>
  <c r="Z78" i="1" s="1"/>
  <c r="Q77" i="1"/>
  <c r="Z77" i="1" s="1"/>
  <c r="Q76" i="1"/>
  <c r="Z76" i="1" s="1"/>
  <c r="Q75" i="1"/>
  <c r="Q74" i="1"/>
  <c r="Z74" i="1" s="1"/>
  <c r="Q73" i="1"/>
  <c r="Z73" i="1" s="1"/>
  <c r="Q72" i="1"/>
  <c r="Z72" i="1" s="1"/>
  <c r="Q71" i="1"/>
  <c r="Z71" i="1" s="1"/>
  <c r="Q70" i="1"/>
  <c r="Z70" i="1" s="1"/>
  <c r="Q69" i="1"/>
  <c r="Z69" i="1" s="1"/>
  <c r="Q68" i="1"/>
  <c r="Z68" i="1" s="1"/>
  <c r="Q67" i="1"/>
  <c r="Q66" i="1"/>
  <c r="Z66" i="1" s="1"/>
  <c r="Q65" i="1"/>
  <c r="Z65" i="1" s="1"/>
  <c r="Q64" i="1"/>
  <c r="Z64" i="1" s="1"/>
  <c r="Q63" i="1"/>
  <c r="Z63" i="1" s="1"/>
  <c r="Q62" i="1"/>
  <c r="Z62" i="1" s="1"/>
  <c r="Q61" i="1"/>
  <c r="Z61" i="1" s="1"/>
  <c r="Q60" i="1"/>
  <c r="Z60" i="1" s="1"/>
  <c r="Q59" i="1"/>
  <c r="Z59" i="1" s="1"/>
  <c r="Q58" i="1"/>
  <c r="Z58" i="1" s="1"/>
  <c r="Q57" i="1"/>
  <c r="Z57" i="1" s="1"/>
  <c r="Q56" i="1"/>
  <c r="Z56" i="1" s="1"/>
  <c r="Q55" i="1"/>
  <c r="Z55" i="1" s="1"/>
  <c r="Q54" i="1"/>
  <c r="Z54" i="1" s="1"/>
  <c r="Q53" i="1"/>
  <c r="Z53" i="1" s="1"/>
  <c r="Q52" i="1"/>
  <c r="Z52" i="1" s="1"/>
  <c r="Q51" i="1"/>
  <c r="Z51" i="1" s="1"/>
  <c r="Q50" i="1"/>
  <c r="Z50" i="1" s="1"/>
  <c r="Q49" i="1"/>
  <c r="Z49" i="1" s="1"/>
  <c r="Q48" i="1"/>
  <c r="Z48" i="1" s="1"/>
  <c r="Q47" i="1"/>
  <c r="Z47" i="1" s="1"/>
  <c r="Q46" i="1"/>
  <c r="Z46" i="1" s="1"/>
  <c r="Q45" i="1"/>
  <c r="Z45" i="1" s="1"/>
  <c r="Q44" i="1"/>
  <c r="Z44" i="1" s="1"/>
  <c r="Q43" i="1"/>
  <c r="Q42" i="1"/>
  <c r="Z42" i="1" s="1"/>
  <c r="Q41" i="1"/>
  <c r="Z41" i="1" s="1"/>
  <c r="Q40" i="1"/>
  <c r="Z40" i="1" s="1"/>
  <c r="Q39" i="1"/>
  <c r="Q38" i="1"/>
  <c r="Z38" i="1" s="1"/>
  <c r="Q37" i="1"/>
  <c r="Q36" i="1"/>
  <c r="Z36" i="1" s="1"/>
  <c r="Q35" i="1"/>
  <c r="Z35" i="1" s="1"/>
  <c r="Q34" i="1"/>
  <c r="Z34" i="1" s="1"/>
  <c r="Q33" i="1"/>
  <c r="Q32" i="1"/>
  <c r="Z32" i="1" s="1"/>
  <c r="Q31" i="1"/>
  <c r="Z31" i="1" s="1"/>
  <c r="Q30" i="1"/>
  <c r="Z30" i="1" s="1"/>
  <c r="Q29" i="1"/>
  <c r="Z29" i="1" s="1"/>
  <c r="Q28" i="1"/>
  <c r="Z28" i="1" s="1"/>
  <c r="Q27" i="1"/>
  <c r="Z27" i="1" s="1"/>
  <c r="Q26" i="1"/>
  <c r="Z26" i="1" s="1"/>
  <c r="Q25" i="1"/>
  <c r="Z25" i="1" s="1"/>
  <c r="Q24" i="1"/>
  <c r="Z24" i="1" s="1"/>
  <c r="Q23" i="1"/>
  <c r="Z23" i="1" s="1"/>
  <c r="Q22" i="1"/>
  <c r="Z22" i="1" s="1"/>
  <c r="Q21" i="1"/>
  <c r="Z21" i="1" s="1"/>
  <c r="Q20" i="1"/>
  <c r="Z20" i="1" s="1"/>
  <c r="Q19" i="1"/>
  <c r="Z19" i="1" s="1"/>
  <c r="Q18" i="1"/>
  <c r="Z18" i="1" s="1"/>
  <c r="Q17" i="1"/>
  <c r="Z17" i="1" s="1"/>
  <c r="Q16" i="1"/>
  <c r="Z16" i="1" s="1"/>
  <c r="Q15" i="1"/>
  <c r="Z15" i="1" s="1"/>
  <c r="Q14" i="1"/>
  <c r="Q13" i="1"/>
  <c r="Z13" i="1" s="1"/>
  <c r="Q12" i="1"/>
  <c r="Z12" i="1" s="1"/>
  <c r="Q11" i="1"/>
  <c r="Z11" i="1" s="1"/>
  <c r="Q10" i="1"/>
  <c r="Z10" i="1" s="1"/>
  <c r="Q9" i="1"/>
  <c r="Z9" i="1" s="1"/>
  <c r="Q8" i="1"/>
  <c r="Z8" i="1" s="1"/>
  <c r="Q7" i="1"/>
  <c r="Z7" i="1" s="1"/>
  <c r="Q6" i="1"/>
  <c r="Y215" i="1"/>
  <c r="Y214" i="1"/>
  <c r="Y211" i="1"/>
  <c r="Y210" i="1"/>
  <c r="Y209" i="1"/>
  <c r="Y208" i="1"/>
  <c r="Y207" i="1"/>
  <c r="Y206" i="1"/>
  <c r="Y205" i="1"/>
  <c r="Y204" i="1"/>
  <c r="Y203" i="1"/>
  <c r="Y202" i="1"/>
  <c r="Y201" i="1"/>
  <c r="Y200" i="1"/>
  <c r="Y199" i="1"/>
  <c r="Y198" i="1"/>
  <c r="Y197" i="1"/>
  <c r="Y196" i="1"/>
  <c r="Y195" i="1"/>
  <c r="Y194" i="1"/>
  <c r="Y193" i="1"/>
  <c r="Y192" i="1"/>
  <c r="Y191" i="1"/>
  <c r="Y190" i="1"/>
  <c r="Y189" i="1"/>
  <c r="Y188" i="1"/>
  <c r="Y187" i="1"/>
  <c r="Y186" i="1"/>
  <c r="Y185" i="1"/>
  <c r="Y184" i="1"/>
  <c r="Y183" i="1"/>
  <c r="Y182" i="1"/>
  <c r="Y181" i="1"/>
  <c r="Y180" i="1"/>
  <c r="Y179" i="1"/>
  <c r="Y178" i="1"/>
  <c r="Y177" i="1"/>
  <c r="Y176" i="1"/>
  <c r="Y175" i="1"/>
  <c r="Y174" i="1"/>
  <c r="Y173" i="1"/>
  <c r="Y172" i="1"/>
  <c r="Y171" i="1"/>
  <c r="Y170" i="1"/>
  <c r="Y169" i="1"/>
  <c r="Y168" i="1"/>
  <c r="Y167" i="1"/>
  <c r="Y166" i="1"/>
  <c r="Y165" i="1"/>
  <c r="Y164" i="1"/>
  <c r="Y163" i="1"/>
  <c r="Y162" i="1"/>
  <c r="Y161" i="1"/>
  <c r="Y160" i="1"/>
  <c r="Y159" i="1"/>
  <c r="Y158" i="1"/>
  <c r="Y157" i="1"/>
  <c r="Y156" i="1"/>
  <c r="Y155" i="1"/>
  <c r="Y154" i="1"/>
  <c r="Y153" i="1"/>
  <c r="Y152" i="1"/>
  <c r="Y151" i="1"/>
  <c r="Y150" i="1"/>
  <c r="Y85" i="1"/>
  <c r="Y84" i="1"/>
  <c r="Y83" i="1"/>
  <c r="Y82" i="1"/>
  <c r="Y81" i="1"/>
  <c r="Y80" i="1"/>
  <c r="Y79" i="1"/>
  <c r="Y78" i="1"/>
  <c r="Y77" i="1"/>
  <c r="Y76" i="1"/>
  <c r="Y75" i="1"/>
  <c r="Y74" i="1"/>
  <c r="Y73" i="1"/>
  <c r="Y72" i="1"/>
  <c r="Y71" i="1"/>
  <c r="Y70" i="1"/>
  <c r="Y69" i="1"/>
  <c r="Y68" i="1"/>
  <c r="Y67" i="1"/>
  <c r="Y66" i="1"/>
  <c r="Y65" i="1"/>
  <c r="Y64" i="1"/>
  <c r="Y63" i="1"/>
  <c r="Y62" i="1"/>
  <c r="Y61" i="1"/>
  <c r="Y60" i="1"/>
  <c r="Y59" i="1"/>
  <c r="Y58" i="1"/>
  <c r="Y57" i="1"/>
  <c r="Y56" i="1"/>
  <c r="Y55" i="1"/>
  <c r="Y54" i="1"/>
  <c r="Y53" i="1"/>
  <c r="Y52" i="1"/>
  <c r="Y51" i="1"/>
  <c r="Y50" i="1"/>
  <c r="Y49" i="1"/>
  <c r="Y48" i="1"/>
  <c r="Y47" i="1"/>
  <c r="Y46" i="1"/>
  <c r="Y45" i="1"/>
  <c r="Y44" i="1"/>
  <c r="Y43" i="1"/>
  <c r="Y42" i="1"/>
  <c r="Y41" i="1"/>
  <c r="Y40" i="1"/>
  <c r="Y39" i="1"/>
  <c r="Y38" i="1"/>
  <c r="Y37" i="1"/>
  <c r="Y36" i="1"/>
  <c r="Y35" i="1"/>
  <c r="Y34" i="1"/>
  <c r="Y33" i="1"/>
  <c r="Y32" i="1"/>
  <c r="Y31" i="1"/>
  <c r="Y30" i="1"/>
  <c r="Y29" i="1"/>
  <c r="Y28" i="1"/>
  <c r="Y27" i="1"/>
  <c r="Y26" i="1"/>
  <c r="Y25" i="1"/>
  <c r="Y24" i="1"/>
  <c r="Y23" i="1"/>
  <c r="Y22" i="1"/>
  <c r="Y21" i="1"/>
  <c r="Y20" i="1"/>
  <c r="Y19" i="1"/>
  <c r="Y18" i="1"/>
  <c r="Y17" i="1"/>
  <c r="Y16" i="1"/>
  <c r="Y15" i="1"/>
  <c r="Y14" i="1"/>
  <c r="Y13" i="1"/>
  <c r="Y12" i="1"/>
  <c r="Y11" i="1"/>
  <c r="Y10" i="1"/>
  <c r="Y9" i="1"/>
  <c r="Y8" i="1"/>
  <c r="Y7" i="1"/>
  <c r="Y6" i="1"/>
  <c r="Y5" i="1"/>
  <c r="V202" i="1"/>
  <c r="V201" i="1"/>
  <c r="V200" i="1"/>
  <c r="V199" i="1"/>
  <c r="V198" i="1"/>
  <c r="V197" i="1"/>
  <c r="V196" i="1"/>
  <c r="V195" i="1"/>
  <c r="V194" i="1"/>
  <c r="V193" i="1"/>
  <c r="V192" i="1"/>
  <c r="V191" i="1"/>
  <c r="T202" i="1"/>
  <c r="T201" i="1"/>
  <c r="T200" i="1"/>
  <c r="T199" i="1"/>
  <c r="T198" i="1"/>
  <c r="T197" i="1"/>
  <c r="T196" i="1"/>
  <c r="T195" i="1"/>
  <c r="T194" i="1"/>
  <c r="T193" i="1"/>
  <c r="T192" i="1"/>
  <c r="T191" i="1"/>
  <c r="N202" i="1"/>
  <c r="P202" i="1" s="1"/>
  <c r="N201" i="1"/>
  <c r="P201" i="1" s="1"/>
  <c r="N200" i="1"/>
  <c r="R200" i="1" s="1"/>
  <c r="N199" i="1"/>
  <c r="P199" i="1" s="1"/>
  <c r="N198" i="1"/>
  <c r="P198" i="1" s="1"/>
  <c r="N197" i="1"/>
  <c r="N196" i="1"/>
  <c r="P196" i="1" s="1"/>
  <c r="N195" i="1"/>
  <c r="P195" i="1" s="1"/>
  <c r="N194" i="1"/>
  <c r="N193" i="1"/>
  <c r="N192" i="1"/>
  <c r="P192" i="1" s="1"/>
  <c r="N191" i="1"/>
  <c r="P191" i="1" s="1"/>
  <c r="V215" i="1"/>
  <c r="V214" i="1"/>
  <c r="V211" i="1"/>
  <c r="V210" i="1"/>
  <c r="V209" i="1"/>
  <c r="V208" i="1"/>
  <c r="V207" i="1"/>
  <c r="V206" i="1"/>
  <c r="V205" i="1"/>
  <c r="V204" i="1"/>
  <c r="V203" i="1"/>
  <c r="V190" i="1"/>
  <c r="V189" i="1"/>
  <c r="V188" i="1"/>
  <c r="V187" i="1"/>
  <c r="V186" i="1"/>
  <c r="V185" i="1"/>
  <c r="V184" i="1"/>
  <c r="V183" i="1"/>
  <c r="V182" i="1"/>
  <c r="V181" i="1"/>
  <c r="V180" i="1"/>
  <c r="V179" i="1"/>
  <c r="V178" i="1"/>
  <c r="V177" i="1"/>
  <c r="V176" i="1"/>
  <c r="V175" i="1"/>
  <c r="V174" i="1"/>
  <c r="V173" i="1"/>
  <c r="V172" i="1"/>
  <c r="V171" i="1"/>
  <c r="V170" i="1"/>
  <c r="V169" i="1"/>
  <c r="V168" i="1"/>
  <c r="V167" i="1"/>
  <c r="V166" i="1"/>
  <c r="V165" i="1"/>
  <c r="V164" i="1"/>
  <c r="V163" i="1"/>
  <c r="V162" i="1"/>
  <c r="V161" i="1"/>
  <c r="V160" i="1"/>
  <c r="V159" i="1"/>
  <c r="V158" i="1"/>
  <c r="V157" i="1"/>
  <c r="V156" i="1"/>
  <c r="V155" i="1"/>
  <c r="V154" i="1"/>
  <c r="V153" i="1"/>
  <c r="V152" i="1"/>
  <c r="V151" i="1"/>
  <c r="V150" i="1"/>
  <c r="V85" i="1"/>
  <c r="V84" i="1"/>
  <c r="V83" i="1"/>
  <c r="V82" i="1"/>
  <c r="V81" i="1"/>
  <c r="V80" i="1"/>
  <c r="V79" i="1"/>
  <c r="V78" i="1"/>
  <c r="V77" i="1"/>
  <c r="V76" i="1"/>
  <c r="V75" i="1"/>
  <c r="V74" i="1"/>
  <c r="V73" i="1"/>
  <c r="V72" i="1"/>
  <c r="V71" i="1"/>
  <c r="V70" i="1"/>
  <c r="V69" i="1"/>
  <c r="V68" i="1"/>
  <c r="V67" i="1"/>
  <c r="V66" i="1"/>
  <c r="V65" i="1"/>
  <c r="V64" i="1"/>
  <c r="V63" i="1"/>
  <c r="V62" i="1"/>
  <c r="V61" i="1"/>
  <c r="V60" i="1"/>
  <c r="V59" i="1"/>
  <c r="V58" i="1"/>
  <c r="V57" i="1"/>
  <c r="V56" i="1"/>
  <c r="V55" i="1"/>
  <c r="V54" i="1"/>
  <c r="V53" i="1"/>
  <c r="V52" i="1"/>
  <c r="V51" i="1"/>
  <c r="V50" i="1"/>
  <c r="V49" i="1"/>
  <c r="V48" i="1"/>
  <c r="V47" i="1"/>
  <c r="V46" i="1"/>
  <c r="V45" i="1"/>
  <c r="V44" i="1"/>
  <c r="V43" i="1"/>
  <c r="V42" i="1"/>
  <c r="V41" i="1"/>
  <c r="V40" i="1"/>
  <c r="V39" i="1"/>
  <c r="V38" i="1"/>
  <c r="V37" i="1"/>
  <c r="V36" i="1"/>
  <c r="V35" i="1"/>
  <c r="V34" i="1"/>
  <c r="V33" i="1"/>
  <c r="V32" i="1"/>
  <c r="V31" i="1"/>
  <c r="V30" i="1"/>
  <c r="V29" i="1"/>
  <c r="V28" i="1"/>
  <c r="V27" i="1"/>
  <c r="V26" i="1"/>
  <c r="V25" i="1"/>
  <c r="V24" i="1"/>
  <c r="V23" i="1"/>
  <c r="V22" i="1"/>
  <c r="V21" i="1"/>
  <c r="V20" i="1"/>
  <c r="V19" i="1"/>
  <c r="V18" i="1"/>
  <c r="V17" i="1"/>
  <c r="V16" i="1"/>
  <c r="V15" i="1"/>
  <c r="V14" i="1"/>
  <c r="V13" i="1"/>
  <c r="V12" i="1"/>
  <c r="V11" i="1"/>
  <c r="V10" i="1"/>
  <c r="V9" i="1"/>
  <c r="V8" i="1"/>
  <c r="V7" i="1"/>
  <c r="V6" i="1"/>
  <c r="V5" i="1"/>
  <c r="T215" i="1"/>
  <c r="T214" i="1"/>
  <c r="T211" i="1"/>
  <c r="T210" i="1"/>
  <c r="T209" i="1"/>
  <c r="T208" i="1"/>
  <c r="T207" i="1"/>
  <c r="T206" i="1"/>
  <c r="T205" i="1"/>
  <c r="T204" i="1"/>
  <c r="T203" i="1"/>
  <c r="T190" i="1"/>
  <c r="T189" i="1"/>
  <c r="T188" i="1"/>
  <c r="T187" i="1"/>
  <c r="T186" i="1"/>
  <c r="T185" i="1"/>
  <c r="T184" i="1"/>
  <c r="T183" i="1"/>
  <c r="T182" i="1"/>
  <c r="T181" i="1"/>
  <c r="T180" i="1"/>
  <c r="T179" i="1"/>
  <c r="T178" i="1"/>
  <c r="T177" i="1"/>
  <c r="T176" i="1"/>
  <c r="T175" i="1"/>
  <c r="T174" i="1"/>
  <c r="T173" i="1"/>
  <c r="T172" i="1"/>
  <c r="T171" i="1"/>
  <c r="T170" i="1"/>
  <c r="T169" i="1"/>
  <c r="T168" i="1"/>
  <c r="T167" i="1"/>
  <c r="T166" i="1"/>
  <c r="T165" i="1"/>
  <c r="T164" i="1"/>
  <c r="T163" i="1"/>
  <c r="T162" i="1"/>
  <c r="T161" i="1"/>
  <c r="T160" i="1"/>
  <c r="T159" i="1"/>
  <c r="T158" i="1"/>
  <c r="T157" i="1"/>
  <c r="T156" i="1"/>
  <c r="T155" i="1"/>
  <c r="T154" i="1"/>
  <c r="T153" i="1"/>
  <c r="T152" i="1"/>
  <c r="T151" i="1"/>
  <c r="T150" i="1"/>
  <c r="T85" i="1"/>
  <c r="T84" i="1"/>
  <c r="T83" i="1"/>
  <c r="T82" i="1"/>
  <c r="T81" i="1"/>
  <c r="T80" i="1"/>
  <c r="T79" i="1"/>
  <c r="T78" i="1"/>
  <c r="T77" i="1"/>
  <c r="T76" i="1"/>
  <c r="T75" i="1"/>
  <c r="T74" i="1"/>
  <c r="T73" i="1"/>
  <c r="T72" i="1"/>
  <c r="T71" i="1"/>
  <c r="T70" i="1"/>
  <c r="T69" i="1"/>
  <c r="T68" i="1"/>
  <c r="T67" i="1"/>
  <c r="T66" i="1"/>
  <c r="T65" i="1"/>
  <c r="T64" i="1"/>
  <c r="T63" i="1"/>
  <c r="T62" i="1"/>
  <c r="T61" i="1"/>
  <c r="T60" i="1"/>
  <c r="T59" i="1"/>
  <c r="T58" i="1"/>
  <c r="T57" i="1"/>
  <c r="T56" i="1"/>
  <c r="T55" i="1"/>
  <c r="T54" i="1"/>
  <c r="T53" i="1"/>
  <c r="T52" i="1"/>
  <c r="T51" i="1"/>
  <c r="T50" i="1"/>
  <c r="T49" i="1"/>
  <c r="T48" i="1"/>
  <c r="T47" i="1"/>
  <c r="T46" i="1"/>
  <c r="T45" i="1"/>
  <c r="T44" i="1"/>
  <c r="T43" i="1"/>
  <c r="T42" i="1"/>
  <c r="T41" i="1"/>
  <c r="T40" i="1"/>
  <c r="T39" i="1"/>
  <c r="T38" i="1"/>
  <c r="T37" i="1"/>
  <c r="T36" i="1"/>
  <c r="T35" i="1"/>
  <c r="T34" i="1"/>
  <c r="T33" i="1"/>
  <c r="T32" i="1"/>
  <c r="T31" i="1"/>
  <c r="T30" i="1"/>
  <c r="T29" i="1"/>
  <c r="T28" i="1"/>
  <c r="T27" i="1"/>
  <c r="T26" i="1"/>
  <c r="T25" i="1"/>
  <c r="T24" i="1"/>
  <c r="T23" i="1"/>
  <c r="T22" i="1"/>
  <c r="T21" i="1"/>
  <c r="T20" i="1"/>
  <c r="T19" i="1"/>
  <c r="T18" i="1"/>
  <c r="T17" i="1"/>
  <c r="T16" i="1"/>
  <c r="T15" i="1"/>
  <c r="T14" i="1"/>
  <c r="T13" i="1"/>
  <c r="T12" i="1"/>
  <c r="T11" i="1"/>
  <c r="T10" i="1"/>
  <c r="T9" i="1"/>
  <c r="T8" i="1"/>
  <c r="T7" i="1"/>
  <c r="T6" i="1"/>
  <c r="T5" i="1"/>
  <c r="Z33" i="1"/>
  <c r="Q5" i="1"/>
  <c r="N215" i="1"/>
  <c r="P215" i="1" s="1"/>
  <c r="N214" i="1"/>
  <c r="N211" i="1"/>
  <c r="P211" i="1" s="1"/>
  <c r="N210" i="1"/>
  <c r="P210" i="1" s="1"/>
  <c r="N209" i="1"/>
  <c r="N208" i="1"/>
  <c r="R208" i="1" s="1"/>
  <c r="N207" i="1"/>
  <c r="P207" i="1" s="1"/>
  <c r="N206" i="1"/>
  <c r="P206" i="1" s="1"/>
  <c r="N205" i="1"/>
  <c r="P205" i="1" s="1"/>
  <c r="N204" i="1"/>
  <c r="P204" i="1" s="1"/>
  <c r="N203" i="1"/>
  <c r="N190" i="1"/>
  <c r="R190" i="1" s="1"/>
  <c r="N189" i="1"/>
  <c r="P189" i="1" s="1"/>
  <c r="N188" i="1"/>
  <c r="N187" i="1"/>
  <c r="R187" i="1" s="1"/>
  <c r="N186" i="1"/>
  <c r="P186" i="1" s="1"/>
  <c r="N185" i="1"/>
  <c r="P185" i="1" s="1"/>
  <c r="N184" i="1"/>
  <c r="P184" i="1" s="1"/>
  <c r="N183" i="1"/>
  <c r="P183" i="1" s="1"/>
  <c r="N182" i="1"/>
  <c r="N181" i="1"/>
  <c r="P181" i="1" s="1"/>
  <c r="N180" i="1"/>
  <c r="R180" i="1" s="1"/>
  <c r="N179" i="1"/>
  <c r="P179" i="1" s="1"/>
  <c r="N178" i="1"/>
  <c r="N177" i="1"/>
  <c r="P177" i="1" s="1"/>
  <c r="N176" i="1"/>
  <c r="P176" i="1" s="1"/>
  <c r="N175" i="1"/>
  <c r="P175" i="1" s="1"/>
  <c r="N174" i="1"/>
  <c r="R174" i="1" s="1"/>
  <c r="N173" i="1"/>
  <c r="R173" i="1" s="1"/>
  <c r="N172" i="1"/>
  <c r="P172" i="1" s="1"/>
  <c r="N171" i="1"/>
  <c r="N170" i="1"/>
  <c r="P170" i="1" s="1"/>
  <c r="N169" i="1"/>
  <c r="P169" i="1" s="1"/>
  <c r="N168" i="1"/>
  <c r="N167" i="1"/>
  <c r="P167" i="1" s="1"/>
  <c r="N166" i="1"/>
  <c r="P166" i="1" s="1"/>
  <c r="N165" i="1"/>
  <c r="P165" i="1" s="1"/>
  <c r="N164" i="1"/>
  <c r="N163" i="1"/>
  <c r="P163" i="1" s="1"/>
  <c r="N162" i="1"/>
  <c r="R162" i="1" s="1"/>
  <c r="N161" i="1"/>
  <c r="P161" i="1" s="1"/>
  <c r="N160" i="1"/>
  <c r="P160" i="1" s="1"/>
  <c r="N159" i="1"/>
  <c r="P159" i="1" s="1"/>
  <c r="N158" i="1"/>
  <c r="R158" i="1" s="1"/>
  <c r="N157" i="1"/>
  <c r="P157" i="1" s="1"/>
  <c r="N156" i="1"/>
  <c r="R156" i="1" s="1"/>
  <c r="N155" i="1"/>
  <c r="P155" i="1" s="1"/>
  <c r="N154" i="1"/>
  <c r="P154" i="1" s="1"/>
  <c r="N153" i="1"/>
  <c r="P153" i="1" s="1"/>
  <c r="N152" i="1"/>
  <c r="P152" i="1" s="1"/>
  <c r="N151" i="1"/>
  <c r="N150" i="1"/>
  <c r="P150" i="1" s="1"/>
  <c r="N85" i="1"/>
  <c r="P85" i="1" s="1"/>
  <c r="N84" i="1"/>
  <c r="P84" i="1" s="1"/>
  <c r="N83" i="1"/>
  <c r="N82" i="1"/>
  <c r="P82" i="1" s="1"/>
  <c r="N81" i="1"/>
  <c r="P81" i="1" s="1"/>
  <c r="N80" i="1"/>
  <c r="P80" i="1" s="1"/>
  <c r="N79" i="1"/>
  <c r="P79" i="1" s="1"/>
  <c r="N78" i="1"/>
  <c r="P78" i="1" s="1"/>
  <c r="N77" i="1"/>
  <c r="N76" i="1"/>
  <c r="P76" i="1" s="1"/>
  <c r="N75" i="1"/>
  <c r="P75" i="1" s="1"/>
  <c r="N74" i="1"/>
  <c r="P74" i="1" s="1"/>
  <c r="N73" i="1"/>
  <c r="P73" i="1" s="1"/>
  <c r="N72" i="1"/>
  <c r="R72" i="1" s="1"/>
  <c r="N71" i="1"/>
  <c r="P71" i="1" s="1"/>
  <c r="N70" i="1"/>
  <c r="P70" i="1" s="1"/>
  <c r="N69" i="1"/>
  <c r="P69" i="1" s="1"/>
  <c r="N68" i="1"/>
  <c r="P68" i="1" s="1"/>
  <c r="N67" i="1"/>
  <c r="P67" i="1" s="1"/>
  <c r="N66" i="1"/>
  <c r="R66" i="1" s="1"/>
  <c r="N65" i="1"/>
  <c r="P65" i="1" s="1"/>
  <c r="N64" i="1"/>
  <c r="N63" i="1"/>
  <c r="P63" i="1" s="1"/>
  <c r="N62" i="1"/>
  <c r="P62" i="1" s="1"/>
  <c r="N61" i="1"/>
  <c r="P61" i="1" s="1"/>
  <c r="N60" i="1"/>
  <c r="P60" i="1" s="1"/>
  <c r="N59" i="1"/>
  <c r="P59" i="1" s="1"/>
  <c r="N58" i="1"/>
  <c r="P58" i="1" s="1"/>
  <c r="N57" i="1"/>
  <c r="N56" i="1"/>
  <c r="P56" i="1" s="1"/>
  <c r="N55" i="1"/>
  <c r="P55" i="1" s="1"/>
  <c r="N54" i="1"/>
  <c r="N53" i="1"/>
  <c r="N52" i="1"/>
  <c r="R52" i="1" s="1"/>
  <c r="N51" i="1"/>
  <c r="N50" i="1"/>
  <c r="R50" i="1" s="1"/>
  <c r="N49" i="1"/>
  <c r="N48" i="1"/>
  <c r="N47" i="1"/>
  <c r="P47" i="1" s="1"/>
  <c r="N46" i="1"/>
  <c r="R46" i="1" s="1"/>
  <c r="N45" i="1"/>
  <c r="P45" i="1" s="1"/>
  <c r="N44" i="1"/>
  <c r="P44" i="1" s="1"/>
  <c r="N43" i="1"/>
  <c r="P43" i="1" s="1"/>
  <c r="N42" i="1"/>
  <c r="N41" i="1"/>
  <c r="P41" i="1" s="1"/>
  <c r="N40" i="1"/>
  <c r="P40" i="1" s="1"/>
  <c r="N39" i="1"/>
  <c r="P39" i="1" s="1"/>
  <c r="N38" i="1"/>
  <c r="N37" i="1"/>
  <c r="P37" i="1" s="1"/>
  <c r="N36" i="1"/>
  <c r="P36" i="1" s="1"/>
  <c r="N35" i="1"/>
  <c r="N34" i="1"/>
  <c r="R34" i="1" s="1"/>
  <c r="N33" i="1"/>
  <c r="P33" i="1" s="1"/>
  <c r="N32" i="1"/>
  <c r="R32" i="1" s="1"/>
  <c r="N31" i="1"/>
  <c r="P31" i="1" s="1"/>
  <c r="N30" i="1"/>
  <c r="N29" i="1"/>
  <c r="R29" i="1" s="1"/>
  <c r="N28" i="1"/>
  <c r="R28" i="1" s="1"/>
  <c r="N27" i="1"/>
  <c r="P27" i="1" s="1"/>
  <c r="N26" i="1"/>
  <c r="P26" i="1" s="1"/>
  <c r="N25" i="1"/>
  <c r="P25" i="1" s="1"/>
  <c r="N24" i="1"/>
  <c r="N23" i="1"/>
  <c r="P23" i="1" s="1"/>
  <c r="N22" i="1"/>
  <c r="P22" i="1" s="1"/>
  <c r="N21" i="1"/>
  <c r="P21" i="1" s="1"/>
  <c r="N20" i="1"/>
  <c r="N19" i="1"/>
  <c r="P19" i="1" s="1"/>
  <c r="N18" i="1"/>
  <c r="P18" i="1" s="1"/>
  <c r="N17" i="1"/>
  <c r="P17" i="1" s="1"/>
  <c r="N16" i="1"/>
  <c r="R16" i="1" s="1"/>
  <c r="N15" i="1"/>
  <c r="N14" i="1"/>
  <c r="P14" i="1" s="1"/>
  <c r="N13" i="1"/>
  <c r="P13" i="1" s="1"/>
  <c r="N12" i="1"/>
  <c r="P12" i="1" s="1"/>
  <c r="N11" i="1"/>
  <c r="P11" i="1" s="1"/>
  <c r="N10" i="1"/>
  <c r="R10" i="1" s="1"/>
  <c r="N9" i="1"/>
  <c r="P9" i="1" s="1"/>
  <c r="N8" i="1"/>
  <c r="P8" i="1" s="1"/>
  <c r="N7" i="1"/>
  <c r="P7" i="1" s="1"/>
  <c r="N6" i="1"/>
  <c r="P6" i="1" s="1"/>
  <c r="N5" i="1"/>
  <c r="R196" i="1"/>
  <c r="P72" i="1"/>
  <c r="Z87" i="1"/>
  <c r="Z89" i="1"/>
  <c r="Z93" i="1"/>
  <c r="Z95" i="1"/>
  <c r="Z97" i="1"/>
  <c r="Z99" i="1"/>
  <c r="Z105" i="1"/>
  <c r="Z107" i="1"/>
  <c r="Z111" i="1"/>
  <c r="Z115" i="1"/>
  <c r="Z117" i="1"/>
  <c r="Z119" i="1"/>
  <c r="Z121" i="1"/>
  <c r="Z123" i="1"/>
  <c r="Z125" i="1"/>
  <c r="Z129" i="1"/>
  <c r="Z131" i="1"/>
  <c r="Z133" i="1"/>
  <c r="Z135" i="1"/>
  <c r="Z139" i="1"/>
  <c r="Z141" i="1"/>
  <c r="Z143" i="1"/>
  <c r="Z145" i="1"/>
  <c r="Z147" i="1"/>
  <c r="R88" i="1"/>
  <c r="P106" i="1"/>
  <c r="P110" i="1"/>
  <c r="R118" i="1"/>
  <c r="P124" i="1"/>
  <c r="R126" i="1"/>
  <c r="R128" i="1"/>
  <c r="P130" i="1"/>
  <c r="P134" i="1"/>
  <c r="R144" i="1"/>
  <c r="P146" i="1"/>
  <c r="R148" i="1"/>
  <c r="P148" i="1"/>
  <c r="P100" i="1"/>
  <c r="P86" i="1"/>
  <c r="P94" i="1"/>
  <c r="R58" i="1"/>
  <c r="R181" i="1"/>
  <c r="R201" i="1"/>
  <c r="P46" i="1"/>
  <c r="Z185" i="1"/>
  <c r="P156" i="1"/>
  <c r="P83" i="1"/>
  <c r="P53" i="1"/>
  <c r="Z161" i="1"/>
  <c r="P30" i="1"/>
  <c r="R44" i="1"/>
  <c r="Z37" i="1"/>
  <c r="Z67" i="1"/>
  <c r="P51" i="1"/>
  <c r="P5" i="1"/>
  <c r="P194" i="1"/>
  <c r="Z195" i="1"/>
  <c r="P164" i="1"/>
  <c r="P34" i="1" l="1"/>
  <c r="R13" i="1"/>
  <c r="R40" i="1"/>
  <c r="R63" i="1"/>
  <c r="R73" i="1"/>
  <c r="P66" i="1"/>
  <c r="P140" i="1"/>
  <c r="P136" i="1"/>
  <c r="R82" i="1"/>
  <c r="P90" i="1"/>
  <c r="P132" i="1"/>
  <c r="R85" i="1"/>
  <c r="R92" i="1"/>
  <c r="R114" i="1"/>
  <c r="P142" i="1"/>
  <c r="R120" i="1"/>
  <c r="P112" i="1"/>
  <c r="O224" i="1"/>
  <c r="R138" i="1"/>
  <c r="R127" i="1"/>
  <c r="R195" i="1"/>
  <c r="P158" i="1"/>
  <c r="R165" i="1"/>
  <c r="P187" i="1"/>
  <c r="R160" i="1"/>
  <c r="R177" i="1"/>
  <c r="R183" i="1"/>
  <c r="R192" i="1"/>
  <c r="R159" i="1"/>
  <c r="R155" i="1"/>
  <c r="R172" i="1"/>
  <c r="P208" i="1"/>
  <c r="R211" i="1"/>
  <c r="R206" i="1"/>
  <c r="R212" i="1"/>
  <c r="P200" i="1"/>
  <c r="Z4" i="4"/>
  <c r="AU6" i="4"/>
  <c r="AT6" i="4"/>
  <c r="AS6" i="4"/>
  <c r="R194" i="1"/>
  <c r="R199" i="1"/>
  <c r="R164" i="1"/>
  <c r="R205" i="1"/>
  <c r="R71" i="1"/>
  <c r="R42" i="1"/>
  <c r="R48" i="1"/>
  <c r="R188" i="1"/>
  <c r="R18" i="1"/>
  <c r="R133" i="1"/>
  <c r="R176" i="1"/>
  <c r="P10" i="1"/>
  <c r="R47" i="1"/>
  <c r="R210" i="1"/>
  <c r="P16" i="1"/>
  <c r="R55" i="1"/>
  <c r="R189" i="1"/>
  <c r="R62" i="1"/>
  <c r="R171" i="1"/>
  <c r="R116" i="1"/>
  <c r="R97" i="1"/>
  <c r="P48" i="1"/>
  <c r="T216" i="1"/>
  <c r="R149" i="1"/>
  <c r="R6" i="1"/>
  <c r="R169" i="1"/>
  <c r="R89" i="1"/>
  <c r="AT4" i="4"/>
  <c r="AS4" i="4"/>
  <c r="AU4" i="4"/>
  <c r="AU12" i="4"/>
  <c r="AS12" i="4"/>
  <c r="AT12" i="4"/>
  <c r="AT14" i="4"/>
  <c r="AU14" i="4"/>
  <c r="AS14" i="4"/>
  <c r="AS10" i="4"/>
  <c r="AT10" i="4"/>
  <c r="AU10" i="4"/>
  <c r="AU8" i="4"/>
  <c r="AT8" i="4"/>
  <c r="AS8" i="4"/>
  <c r="X9" i="4"/>
  <c r="Z9" i="4" s="1"/>
  <c r="Q5" i="4"/>
  <c r="Q14" i="4"/>
  <c r="R107" i="1"/>
  <c r="R69" i="1"/>
  <c r="R56" i="1"/>
  <c r="R51" i="1"/>
  <c r="R45" i="1"/>
  <c r="R8" i="1"/>
  <c r="Z6" i="1"/>
  <c r="G226" i="1"/>
  <c r="R26" i="1"/>
  <c r="R70" i="1"/>
  <c r="P171" i="1"/>
  <c r="R31" i="1"/>
  <c r="R81" i="1"/>
  <c r="R185" i="1"/>
  <c r="R17" i="1"/>
  <c r="P28" i="1"/>
  <c r="R130" i="1"/>
  <c r="R166" i="1"/>
  <c r="P190" i="1"/>
  <c r="R24" i="1"/>
  <c r="P29" i="1"/>
  <c r="R157" i="1"/>
  <c r="R175" i="1"/>
  <c r="V216" i="1"/>
  <c r="R99" i="1"/>
  <c r="R119" i="1"/>
  <c r="R122" i="1"/>
  <c r="R143" i="1"/>
  <c r="P50" i="1"/>
  <c r="R184" i="1"/>
  <c r="R9" i="1"/>
  <c r="O225" i="1"/>
  <c r="O226" i="1"/>
  <c r="R23" i="1"/>
  <c r="P174" i="1"/>
  <c r="R65" i="1"/>
  <c r="R53" i="1"/>
  <c r="N225" i="1"/>
  <c r="P97" i="1"/>
  <c r="R104" i="1"/>
  <c r="R121" i="1"/>
  <c r="R131" i="1"/>
  <c r="R135" i="1"/>
  <c r="R139" i="1"/>
  <c r="R22" i="1"/>
  <c r="R37" i="1"/>
  <c r="R60" i="1"/>
  <c r="R12" i="1"/>
  <c r="N223" i="1"/>
  <c r="P188" i="1"/>
  <c r="R191" i="1"/>
  <c r="P32" i="1"/>
  <c r="N226" i="1"/>
  <c r="R170" i="1"/>
  <c r="P133" i="1"/>
  <c r="R147" i="1"/>
  <c r="P151" i="1"/>
  <c r="R151" i="1"/>
  <c r="R167" i="1"/>
  <c r="P52" i="1"/>
  <c r="R19" i="1"/>
  <c r="P24" i="1"/>
  <c r="P173" i="1"/>
  <c r="R74" i="1"/>
  <c r="P42" i="1"/>
  <c r="R202" i="1"/>
  <c r="P35" i="1"/>
  <c r="R35" i="1"/>
  <c r="R83" i="1"/>
  <c r="Z39" i="1"/>
  <c r="R39" i="1"/>
  <c r="R91" i="1"/>
  <c r="Z91" i="1"/>
  <c r="R103" i="1"/>
  <c r="Z103" i="1"/>
  <c r="R80" i="1"/>
  <c r="R153" i="1"/>
  <c r="R36" i="1"/>
  <c r="R11" i="1"/>
  <c r="R161" i="1"/>
  <c r="R98" i="1"/>
  <c r="R152" i="1"/>
  <c r="P49" i="1"/>
  <c r="R49" i="1"/>
  <c r="R54" i="1"/>
  <c r="P54" i="1"/>
  <c r="R154" i="1"/>
  <c r="P197" i="1"/>
  <c r="R197" i="1"/>
  <c r="R67" i="1"/>
  <c r="R68" i="1"/>
  <c r="R33" i="1"/>
  <c r="R27" i="1"/>
  <c r="R41" i="1"/>
  <c r="R76" i="1"/>
  <c r="R25" i="1"/>
  <c r="R207" i="1"/>
  <c r="R179" i="1"/>
  <c r="R108" i="1"/>
  <c r="R96" i="1"/>
  <c r="P15" i="1"/>
  <c r="R15" i="1"/>
  <c r="R59" i="1"/>
  <c r="R64" i="1"/>
  <c r="P64" i="1"/>
  <c r="R182" i="1"/>
  <c r="P182" i="1"/>
  <c r="R186" i="1"/>
  <c r="R203" i="1"/>
  <c r="P203" i="1"/>
  <c r="R214" i="1"/>
  <c r="P214" i="1"/>
  <c r="R198" i="1"/>
  <c r="Z211" i="1"/>
  <c r="J226" i="1" s="1"/>
  <c r="R109" i="1"/>
  <c r="P109" i="1"/>
  <c r="R38" i="1"/>
  <c r="P38" i="1"/>
  <c r="R178" i="1"/>
  <c r="P178" i="1"/>
  <c r="P209" i="1"/>
  <c r="R209" i="1"/>
  <c r="P193" i="1"/>
  <c r="R193" i="1"/>
  <c r="P168" i="1"/>
  <c r="R168" i="1"/>
  <c r="Z5" i="1"/>
  <c r="R5" i="1"/>
  <c r="N224" i="1"/>
  <c r="P107" i="1"/>
  <c r="P20" i="1"/>
  <c r="R20" i="1"/>
  <c r="P57" i="1"/>
  <c r="R57" i="1"/>
  <c r="P77" i="1"/>
  <c r="R77" i="1"/>
  <c r="Z43" i="1"/>
  <c r="R43" i="1"/>
  <c r="R95" i="1"/>
  <c r="G225" i="1"/>
  <c r="P180" i="1"/>
  <c r="R84" i="1"/>
  <c r="R215" i="1"/>
  <c r="P162" i="1"/>
  <c r="R163" i="1"/>
  <c r="R7" i="1"/>
  <c r="R21" i="1"/>
  <c r="R78" i="1"/>
  <c r="Z14" i="1"/>
  <c r="R14" i="1"/>
  <c r="Z75" i="1"/>
  <c r="R75" i="1"/>
  <c r="R102" i="1"/>
  <c r="P102" i="1"/>
  <c r="R204" i="1"/>
  <c r="R61" i="1"/>
  <c r="R79" i="1"/>
  <c r="R110" i="1"/>
  <c r="Z110" i="1"/>
  <c r="R150" i="1"/>
  <c r="O223" i="1"/>
  <c r="R213" i="1"/>
  <c r="R87" i="1"/>
  <c r="R101" i="1"/>
  <c r="R115" i="1"/>
  <c r="R123" i="1"/>
  <c r="P131" i="1"/>
  <c r="R137" i="1"/>
  <c r="R145" i="1"/>
  <c r="R113" i="1"/>
  <c r="P121" i="1"/>
  <c r="P143" i="1"/>
  <c r="R125" i="1"/>
  <c r="Z127" i="1"/>
  <c r="R30" i="1"/>
  <c r="W6" i="4"/>
  <c r="Y6" i="4" s="1"/>
  <c r="Q7" i="4"/>
  <c r="X6" i="4"/>
  <c r="Z6" i="4" s="1"/>
  <c r="X8" i="4"/>
  <c r="Z8" i="4" s="1"/>
  <c r="X7" i="4"/>
  <c r="Z7" i="4" s="1"/>
  <c r="Z5" i="4"/>
  <c r="W5" i="4"/>
  <c r="Y5" i="4" s="1"/>
  <c r="W8" i="4"/>
  <c r="Y8" i="4" s="1"/>
  <c r="W9" i="4"/>
  <c r="Y9" i="4" s="1"/>
  <c r="Q9" i="4"/>
  <c r="Q6" i="4"/>
  <c r="Q8" i="4"/>
  <c r="Q10" i="4"/>
  <c r="Q12" i="4"/>
  <c r="Q13" i="4"/>
  <c r="Q15" i="4"/>
  <c r="W7" i="4"/>
  <c r="Y7" i="4" s="1"/>
  <c r="Q11" i="4"/>
  <c r="Q4" i="4"/>
  <c r="W4" i="4"/>
  <c r="Y4" i="4" s="1"/>
  <c r="J225" i="1"/>
  <c r="R93" i="1"/>
  <c r="R105" i="1"/>
  <c r="R117" i="1"/>
  <c r="R129" i="1"/>
  <c r="R141" i="1"/>
  <c r="P87" i="1"/>
  <c r="P99" i="1"/>
  <c r="P111" i="1"/>
  <c r="P123" i="1"/>
  <c r="P135" i="1"/>
  <c r="P147" i="1"/>
  <c r="P213" i="1"/>
  <c r="H226" i="1" l="1"/>
  <c r="I226" i="1" s="1"/>
  <c r="U12" i="4"/>
  <c r="AC27" i="4"/>
  <c r="AE27" i="4" s="1"/>
  <c r="U10" i="4"/>
  <c r="AC26" i="4"/>
  <c r="AE26" i="4" s="1"/>
  <c r="U6" i="4"/>
  <c r="AC24" i="4"/>
  <c r="AE24" i="4" s="1"/>
  <c r="U14" i="4"/>
  <c r="AC28" i="4"/>
  <c r="AE28" i="4" s="1"/>
  <c r="U8" i="4"/>
  <c r="AC25" i="4"/>
  <c r="AE25" i="4" s="1"/>
  <c r="U4" i="4"/>
  <c r="AC23" i="4"/>
  <c r="AE23" i="4" s="1"/>
  <c r="AT16" i="4"/>
  <c r="AU16" i="4"/>
  <c r="AN22" i="4" s="1"/>
  <c r="AS16" i="4"/>
  <c r="R218" i="1"/>
  <c r="P216" i="1"/>
  <c r="H223" i="1"/>
  <c r="I223" i="1" s="1"/>
  <c r="M223" i="1"/>
  <c r="G227" i="1"/>
  <c r="O227" i="1"/>
  <c r="N227" i="1"/>
  <c r="M225" i="1"/>
  <c r="K225" i="1" s="1"/>
  <c r="L225" i="1" s="1"/>
  <c r="J223" i="1"/>
  <c r="J224" i="1"/>
  <c r="H225" i="1"/>
  <c r="I225" i="1" s="1"/>
  <c r="M226" i="1"/>
  <c r="K226" i="1" s="1"/>
  <c r="L226" i="1" s="1"/>
  <c r="H224" i="1"/>
  <c r="I224" i="1" s="1"/>
  <c r="M224" i="1"/>
  <c r="K224" i="1" s="1"/>
  <c r="Z10" i="4"/>
  <c r="Q20" i="4" s="1"/>
  <c r="Y10" i="4"/>
  <c r="Q19" i="4" s="1"/>
  <c r="R216" i="1"/>
  <c r="S16" i="4" l="1"/>
  <c r="Q21" i="4" s="1"/>
  <c r="AN20" i="4" s="1"/>
  <c r="AE29" i="4"/>
  <c r="AN21" i="4" s="1"/>
  <c r="M227" i="1"/>
  <c r="J227" i="1"/>
  <c r="R217" i="1"/>
  <c r="K223" i="1"/>
  <c r="K227" i="1" s="1"/>
  <c r="L224" i="1"/>
  <c r="I227" i="1"/>
  <c r="H227" i="1"/>
  <c r="AN23" i="4" l="1"/>
  <c r="L223" i="1"/>
  <c r="L227" i="1" s="1"/>
</calcChain>
</file>

<file path=xl/comments1.xml><?xml version="1.0" encoding="utf-8"?>
<comments xmlns="http://schemas.openxmlformats.org/spreadsheetml/2006/main">
  <authors>
    <author>USER</author>
  </authors>
  <commentList>
    <comment ref="B4" authorId="0">
      <text>
        <r>
          <rPr>
            <b/>
            <sz val="9"/>
            <color indexed="81"/>
            <rFont val="細明體"/>
            <family val="3"/>
            <charset val="136"/>
          </rPr>
          <t>請自行輸入使用版本，或從儲存格右下三角箭頭選取版本</t>
        </r>
      </text>
    </comment>
    <comment ref="R4" authorId="0">
      <text>
        <r>
          <rPr>
            <b/>
            <sz val="9"/>
            <color indexed="81"/>
            <rFont val="細明體"/>
            <family val="3"/>
            <charset val="136"/>
          </rPr>
          <t>請輸入該年級總人數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S4" authorId="0">
      <text>
        <r>
          <rPr>
            <b/>
            <sz val="9"/>
            <color indexed="81"/>
            <rFont val="細明體"/>
            <family val="3"/>
            <charset val="136"/>
          </rPr>
          <t>請輸入學校低收入及中低收入學生數，此為花東書籍費補助學生數</t>
        </r>
      </text>
    </comment>
    <comment ref="L8" authorId="0">
      <text>
        <r>
          <rPr>
            <b/>
            <sz val="9"/>
            <color indexed="81"/>
            <rFont val="細明體"/>
            <family val="3"/>
            <charset val="136"/>
          </rPr>
          <t>請輸入版本及英語教科書名稱，或由儲存格右下方三角按鈕選取。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USER</author>
  </authors>
  <commentList>
    <comment ref="H11" authorId="0">
      <text>
        <r>
          <rPr>
            <sz val="16"/>
            <color indexed="81"/>
            <rFont val="細明體"/>
            <family val="3"/>
            <charset val="136"/>
          </rPr>
          <t>請填寫統計表每人補助金額</t>
        </r>
      </text>
    </comment>
  </commentList>
</comments>
</file>

<file path=xl/sharedStrings.xml><?xml version="1.0" encoding="utf-8"?>
<sst xmlns="http://schemas.openxmlformats.org/spreadsheetml/2006/main" count="1931" uniqueCount="392">
  <si>
    <t>出版商</t>
  </si>
  <si>
    <t>書名</t>
  </si>
  <si>
    <t>冊別</t>
  </si>
  <si>
    <t>學校用書
需求(本)</t>
  </si>
  <si>
    <t>樣書
(本)</t>
  </si>
  <si>
    <t>補助
金額小計</t>
  </si>
  <si>
    <t>康軒</t>
  </si>
  <si>
    <t>翰林</t>
  </si>
  <si>
    <t>南一</t>
  </si>
  <si>
    <t>學校補助
金額合計</t>
  </si>
  <si>
    <t>學生補助
金額合計</t>
  </si>
  <si>
    <t>抬頭1</t>
  </si>
  <si>
    <t>抬頭2</t>
  </si>
  <si>
    <t>花蓮縣縣立玉里國中學校與學生用書補助統計</t>
  </si>
  <si>
    <t>縣補助及花東書籍費補助價格</t>
    <phoneticPr fontId="1" type="noConversion"/>
  </si>
  <si>
    <t>花東書籍費補助(本)</t>
    <phoneticPr fontId="1" type="noConversion"/>
  </si>
  <si>
    <t>花東書籍費補助金額小計</t>
    <phoneticPr fontId="1" type="noConversion"/>
  </si>
  <si>
    <t>特教生使用一般版本教科書補助金額小計</t>
    <phoneticPr fontId="1" type="noConversion"/>
  </si>
  <si>
    <t>花東書籍費補助金額合計</t>
    <phoneticPr fontId="1" type="noConversion"/>
  </si>
  <si>
    <t>審定本</t>
    <phoneticPr fontId="1" type="noConversion"/>
  </si>
  <si>
    <t>藝能科</t>
    <phoneticPr fontId="1" type="noConversion"/>
  </si>
  <si>
    <t>A</t>
    <phoneticPr fontId="1" type="noConversion"/>
  </si>
  <si>
    <t>B</t>
    <phoneticPr fontId="1" type="noConversion"/>
  </si>
  <si>
    <t>C</t>
    <phoneticPr fontId="1" type="noConversion"/>
  </si>
  <si>
    <t>E</t>
    <phoneticPr fontId="1" type="noConversion"/>
  </si>
  <si>
    <t>D</t>
    <phoneticPr fontId="1" type="noConversion"/>
  </si>
  <si>
    <t>F</t>
    <phoneticPr fontId="1" type="noConversion"/>
  </si>
  <si>
    <t>G</t>
    <phoneticPr fontId="1" type="noConversion"/>
  </si>
  <si>
    <t>H</t>
    <phoneticPr fontId="1" type="noConversion"/>
  </si>
  <si>
    <t>I</t>
    <phoneticPr fontId="1" type="noConversion"/>
  </si>
  <si>
    <t>J</t>
    <phoneticPr fontId="1" type="noConversion"/>
  </si>
  <si>
    <t>K</t>
    <phoneticPr fontId="1" type="noConversion"/>
  </si>
  <si>
    <t>L</t>
    <phoneticPr fontId="1" type="noConversion"/>
  </si>
  <si>
    <t>M</t>
    <phoneticPr fontId="1" type="noConversion"/>
  </si>
  <si>
    <t>N</t>
    <phoneticPr fontId="1" type="noConversion"/>
  </si>
  <si>
    <t>O</t>
    <phoneticPr fontId="1" type="noConversion"/>
  </si>
  <si>
    <t>=A-B</t>
    <phoneticPr fontId="1" type="noConversion"/>
  </si>
  <si>
    <t>=C*D</t>
    <phoneticPr fontId="1" type="noConversion"/>
  </si>
  <si>
    <t>=F*G</t>
    <phoneticPr fontId="1" type="noConversion"/>
  </si>
  <si>
    <t>=D-G</t>
    <phoneticPr fontId="1" type="noConversion"/>
  </si>
  <si>
    <t>自填</t>
    <phoneticPr fontId="1" type="noConversion"/>
  </si>
  <si>
    <t>=I*J</t>
    <phoneticPr fontId="1" type="noConversion"/>
  </si>
  <si>
    <t>=F-J</t>
    <phoneticPr fontId="1" type="noConversion"/>
  </si>
  <si>
    <t>=D*N</t>
    <phoneticPr fontId="1" type="noConversion"/>
  </si>
  <si>
    <t>教師用及行政留存</t>
    <phoneticPr fontId="1" type="noConversion"/>
  </si>
  <si>
    <t>原價</t>
    <phoneticPr fontId="1" type="noConversion"/>
  </si>
  <si>
    <t>十二年國教課綱教科書部分補助</t>
    <phoneticPr fontId="1" type="noConversion"/>
  </si>
  <si>
    <t>為避免重複補助已扣除十二年國教課綱教科書部分補助</t>
    <phoneticPr fontId="1" type="noConversion"/>
  </si>
  <si>
    <t>低收入戶及中低收入戶學生</t>
    <phoneticPr fontId="1" type="noConversion"/>
  </si>
  <si>
    <t>一般生</t>
    <phoneticPr fontId="1" type="noConversion"/>
  </si>
  <si>
    <t>請學校自填，單本補助以原價計</t>
    <phoneticPr fontId="1" type="noConversion"/>
  </si>
  <si>
    <t>P</t>
    <phoneticPr fontId="1" type="noConversion"/>
  </si>
  <si>
    <t>Q</t>
    <phoneticPr fontId="1" type="noConversion"/>
  </si>
  <si>
    <t>自填</t>
    <phoneticPr fontId="1" type="noConversion"/>
  </si>
  <si>
    <t>=D*P</t>
    <phoneticPr fontId="1" type="noConversion"/>
  </si>
  <si>
    <t>補校生補助(本)</t>
    <phoneticPr fontId="1" type="noConversion"/>
  </si>
  <si>
    <t>補校生補助金額小計</t>
    <phoneticPr fontId="1" type="noConversion"/>
  </si>
  <si>
    <t xml:space="preserve">康軒 </t>
    <phoneticPr fontId="4" type="noConversion"/>
  </si>
  <si>
    <t xml:space="preserve">翰林 </t>
    <phoneticPr fontId="4" type="noConversion"/>
  </si>
  <si>
    <t xml:space="preserve">南一 </t>
    <phoneticPr fontId="4" type="noConversion"/>
  </si>
  <si>
    <t>=I*L</t>
    <phoneticPr fontId="1" type="noConversion"/>
  </si>
  <si>
    <t>一般生金額合計</t>
    <phoneticPr fontId="1" type="noConversion"/>
  </si>
  <si>
    <t>特教生使用一般版本教科書(本)外加</t>
    <phoneticPr fontId="1" type="noConversion"/>
  </si>
  <si>
    <t>特教生使用一般版本教科書合計</t>
    <phoneticPr fontId="1" type="noConversion"/>
  </si>
  <si>
    <t>補校生補助合計</t>
    <phoneticPr fontId="1" type="noConversion"/>
  </si>
  <si>
    <t>版本</t>
    <phoneticPr fontId="1" type="noConversion"/>
  </si>
  <si>
    <t>第_列</t>
    <phoneticPr fontId="1" type="noConversion"/>
  </si>
  <si>
    <t>合計</t>
    <phoneticPr fontId="1" type="noConversion"/>
  </si>
  <si>
    <t>花東書籍費與學生用書分攤金額</t>
    <phoneticPr fontId="1" type="noConversion"/>
  </si>
  <si>
    <t>縣補助與學生用書分攤金額</t>
    <phoneticPr fontId="1" type="noConversion"/>
  </si>
  <si>
    <t>=G*J</t>
    <phoneticPr fontId="1" type="noConversion"/>
  </si>
  <si>
    <t>=G*L</t>
    <phoneticPr fontId="1" type="noConversion"/>
  </si>
  <si>
    <t>花東書籍費</t>
    <phoneticPr fontId="1" type="noConversion"/>
  </si>
  <si>
    <t>審定本與藝能科給付書商金額</t>
    <phoneticPr fontId="1" type="noConversion"/>
  </si>
  <si>
    <t>說明</t>
    <phoneticPr fontId="1" type="noConversion"/>
  </si>
  <si>
    <t>公式</t>
    <phoneticPr fontId="1" type="noConversion"/>
  </si>
  <si>
    <t>定位用</t>
    <phoneticPr fontId="1" type="noConversion"/>
  </si>
  <si>
    <t>↑單一筆給付書商</t>
    <phoneticPr fontId="1" type="noConversion"/>
  </si>
  <si>
    <t>學生用書</t>
    <phoneticPr fontId="1" type="noConversion"/>
  </si>
  <si>
    <t>↑花東書籍費和審定本與藝能科的一部分</t>
    <phoneticPr fontId="1" type="noConversion"/>
  </si>
  <si>
    <t>審定本與藝能科補助(本)</t>
    <phoneticPr fontId="1" type="noConversion"/>
  </si>
  <si>
    <t>審定本與藝能科補助金額小計</t>
    <phoneticPr fontId="1" type="noConversion"/>
  </si>
  <si>
    <t>學生用書補助
(本)</t>
    <phoneticPr fontId="1" type="noConversion"/>
  </si>
  <si>
    <t>學生用書補助金額小計</t>
    <phoneticPr fontId="1" type="noConversion"/>
  </si>
  <si>
    <t>學生用書單本補助價格</t>
    <phoneticPr fontId="1" type="noConversion"/>
  </si>
  <si>
    <t>花東書籍費支出分攤</t>
    <phoneticPr fontId="1" type="noConversion"/>
  </si>
  <si>
    <t>一般生</t>
    <phoneticPr fontId="1" type="noConversion"/>
  </si>
  <si>
    <t>審定本與藝能科</t>
  </si>
  <si>
    <t>審定本與藝能科個別</t>
    <phoneticPr fontId="1" type="noConversion"/>
  </si>
  <si>
    <t>數學</t>
    <phoneticPr fontId="8" type="noConversion"/>
  </si>
  <si>
    <t>社會</t>
    <phoneticPr fontId="8" type="noConversion"/>
  </si>
  <si>
    <t>英語</t>
    <phoneticPr fontId="8" type="noConversion"/>
  </si>
  <si>
    <t>健體</t>
    <phoneticPr fontId="8" type="noConversion"/>
  </si>
  <si>
    <t>綜合</t>
    <phoneticPr fontId="8" type="noConversion"/>
  </si>
  <si>
    <t>課本</t>
    <phoneticPr fontId="8" type="noConversion"/>
  </si>
  <si>
    <t>習作</t>
    <phoneticPr fontId="8" type="noConversion"/>
  </si>
  <si>
    <t>習作</t>
    <phoneticPr fontId="8" type="noConversion"/>
  </si>
  <si>
    <t>課本</t>
    <phoneticPr fontId="8" type="noConversion"/>
  </si>
  <si>
    <t>習作</t>
    <phoneticPr fontId="8" type="noConversion"/>
  </si>
  <si>
    <t>課本</t>
    <phoneticPr fontId="8" type="noConversion"/>
  </si>
  <si>
    <t>課本</t>
    <phoneticPr fontId="8" type="noConversion"/>
  </si>
  <si>
    <t>一般生補助金額(A)</t>
    <phoneticPr fontId="8" type="noConversion"/>
  </si>
  <si>
    <t>補助版本：經教育部採購議價通過之審定本及藝能科教科書。</t>
    <phoneticPr fontId="8" type="noConversion"/>
  </si>
  <si>
    <t>2.統計表正本及原始憑證留校備查。</t>
    <phoneticPr fontId="8" type="noConversion"/>
  </si>
  <si>
    <t>承辦人：</t>
    <phoneticPr fontId="8" type="noConversion"/>
  </si>
  <si>
    <t>教務(導)主任：</t>
    <phoneticPr fontId="8" type="noConversion"/>
  </si>
  <si>
    <t>會計人員：</t>
    <phoneticPr fontId="8" type="noConversion"/>
  </si>
  <si>
    <t>校長：</t>
    <phoneticPr fontId="8" type="noConversion"/>
  </si>
  <si>
    <t>特教生</t>
    <phoneticPr fontId="1" type="noConversion"/>
  </si>
  <si>
    <t>補校生</t>
    <phoneticPr fontId="1" type="noConversion"/>
  </si>
  <si>
    <t>花東書籍費給付書商金額</t>
    <phoneticPr fontId="1" type="noConversion"/>
  </si>
  <si>
    <t>花蓮縣</t>
    <phoneticPr fontId="8" type="noConversion"/>
  </si>
  <si>
    <t>本表供參，可自行修改</t>
    <phoneticPr fontId="1" type="noConversion"/>
  </si>
  <si>
    <t>藝能科教科書補助合計</t>
    <phoneticPr fontId="8" type="noConversion"/>
  </si>
  <si>
    <t>翰林</t>
    <phoneticPr fontId="1" type="noConversion"/>
  </si>
  <si>
    <t>南一</t>
    <phoneticPr fontId="1" type="noConversion"/>
  </si>
  <si>
    <t>無</t>
    <phoneticPr fontId="4" type="noConversion"/>
  </si>
  <si>
    <t>國語</t>
    <phoneticPr fontId="8" type="noConversion"/>
  </si>
  <si>
    <t>生活</t>
    <phoneticPr fontId="8" type="noConversion"/>
  </si>
  <si>
    <t>一年級</t>
    <phoneticPr fontId="8" type="noConversion"/>
  </si>
  <si>
    <t>二年級</t>
    <phoneticPr fontId="8" type="noConversion"/>
  </si>
  <si>
    <t>三年級</t>
    <phoneticPr fontId="8" type="noConversion"/>
  </si>
  <si>
    <t>四年級</t>
    <phoneticPr fontId="8" type="noConversion"/>
  </si>
  <si>
    <t>五年級</t>
    <phoneticPr fontId="8" type="noConversion"/>
  </si>
  <si>
    <t>六年級</t>
    <phoneticPr fontId="8" type="noConversion"/>
  </si>
  <si>
    <t>三</t>
    <phoneticPr fontId="8" type="noConversion"/>
  </si>
  <si>
    <t>五</t>
    <phoneticPr fontId="8" type="noConversion"/>
  </si>
  <si>
    <t>六</t>
    <phoneticPr fontId="8" type="noConversion"/>
  </si>
  <si>
    <t>康軒 Wonder World</t>
    <phoneticPr fontId="1" type="noConversion"/>
  </si>
  <si>
    <t>翰林 Here We Go</t>
    <phoneticPr fontId="1" type="noConversion"/>
  </si>
  <si>
    <t>何嘉仁 Super Fun</t>
    <phoneticPr fontId="1" type="noConversion"/>
  </si>
  <si>
    <t>何嘉仁 Story.com</t>
    <phoneticPr fontId="1" type="noConversion"/>
  </si>
  <si>
    <t>何嘉仁 eSTAR</t>
    <phoneticPr fontId="1" type="noConversion"/>
  </si>
  <si>
    <t>翰林 Dino on the go</t>
    <phoneticPr fontId="1" type="noConversion"/>
  </si>
  <si>
    <t>康軒 Hello,Kids!</t>
    <phoneticPr fontId="1" type="noConversion"/>
  </si>
  <si>
    <t>康軒 Follow Me.</t>
    <phoneticPr fontId="1" type="noConversion"/>
  </si>
  <si>
    <t>康軒 Follow Me.</t>
    <phoneticPr fontId="1" type="noConversion"/>
  </si>
  <si>
    <t>翰林 Dino on the go</t>
    <phoneticPr fontId="1" type="noConversion"/>
  </si>
  <si>
    <t>何嘉仁 Give Me
Five</t>
    <phoneticPr fontId="1" type="noConversion"/>
  </si>
  <si>
    <t>何嘉仁 eSTAR</t>
    <phoneticPr fontId="1" type="noConversion"/>
  </si>
  <si>
    <t>國小</t>
    <phoneticPr fontId="1" type="noConversion"/>
  </si>
  <si>
    <t>國小康軒國語課本</t>
  </si>
  <si>
    <t>國小康軒國語習作</t>
  </si>
  <si>
    <t>國小康軒數學課本</t>
  </si>
  <si>
    <t>國小康軒數學習作</t>
  </si>
  <si>
    <t>國小康軒生活課本</t>
  </si>
  <si>
    <t>國小康軒生活習作</t>
  </si>
  <si>
    <t>國小康軒健康與體育課本</t>
  </si>
  <si>
    <t>國小康軒綜合活動課本</t>
  </si>
  <si>
    <t>國小康軒社會課本</t>
  </si>
  <si>
    <t>國小康軒社會習作</t>
  </si>
  <si>
    <t>國小康軒自然科學課本</t>
  </si>
  <si>
    <t>國小康軒自然科學習作</t>
  </si>
  <si>
    <t>國小康軒藝術課本</t>
  </si>
  <si>
    <t>國小康軒英語課本(D版)(Wonder World)</t>
  </si>
  <si>
    <t>國小康軒英語習作(D版)(Wonder World)</t>
  </si>
  <si>
    <t>國小康軒自然與生活科技課本</t>
  </si>
  <si>
    <t>國小康軒自然與生活科技習作</t>
  </si>
  <si>
    <t>國小康軒藝術與人文課本</t>
  </si>
  <si>
    <t>國小康軒英語課本 (Hello,Kids!)</t>
  </si>
  <si>
    <t>國小康軒英語習作 (Hello,Kids!)</t>
  </si>
  <si>
    <t>國小康軒英語(C版)課本 (Follow Me)</t>
  </si>
  <si>
    <t>國小康軒英語(C版)習作 (Follow Me)</t>
  </si>
  <si>
    <t>國小翰林國語課本</t>
  </si>
  <si>
    <t>國小翰林國語習作</t>
  </si>
  <si>
    <t>國小翰林數學課本</t>
  </si>
  <si>
    <t>國小翰林數學習作</t>
  </si>
  <si>
    <t>國小翰林生活課本</t>
  </si>
  <si>
    <t>國小翰林生活習作</t>
  </si>
  <si>
    <t>國小翰林健康與體育課本</t>
  </si>
  <si>
    <t>國小翰林綜合活動課本</t>
  </si>
  <si>
    <t>國小翰林社會課本</t>
  </si>
  <si>
    <t>國小翰林社會習作</t>
  </si>
  <si>
    <t>國小翰林自然科學課本</t>
  </si>
  <si>
    <t>國小翰林自然科學習作</t>
  </si>
  <si>
    <t>國小翰林藝術課本</t>
  </si>
  <si>
    <t>國小翰林-英語課本(1)Here We Go</t>
  </si>
  <si>
    <t>國小翰林-英語習作(1)Here We Go</t>
  </si>
  <si>
    <t>國小翰林數學(乙版)課本</t>
  </si>
  <si>
    <t>國小翰林數學(乙版)習作</t>
  </si>
  <si>
    <t>國小翰林自然與生活科技課本</t>
  </si>
  <si>
    <t>國小翰林自然與生活科技習作</t>
  </si>
  <si>
    <t>國小翰林藝術與人文課本</t>
  </si>
  <si>
    <t>國小翰林英語課本 (Dino on the go)</t>
  </si>
  <si>
    <t>國小翰林英語習作 (Dino on the go)</t>
  </si>
  <si>
    <t>國小南一國語課本</t>
  </si>
  <si>
    <t>國小南一國語習作</t>
  </si>
  <si>
    <t>國小南一數學課本</t>
  </si>
  <si>
    <t>國小南一數學習作</t>
  </si>
  <si>
    <t>國小南一生活課本</t>
  </si>
  <si>
    <t>國小南一生活習作</t>
  </si>
  <si>
    <t>國小南一健康與體育課本</t>
  </si>
  <si>
    <t>國小南一綜合活動課本</t>
  </si>
  <si>
    <t>國小南一社會課本</t>
  </si>
  <si>
    <t>國小南一社會習作</t>
  </si>
  <si>
    <t>國小南一自然科學課本</t>
  </si>
  <si>
    <t>國小南一自然科學習作</t>
  </si>
  <si>
    <t>國小南一自然與生活科技課本</t>
  </si>
  <si>
    <t>國小南一自然與生活科技習作</t>
  </si>
  <si>
    <t>國小南一藝術與人文課本</t>
  </si>
  <si>
    <t>國小南一社會(乙版)課本</t>
  </si>
  <si>
    <t>國小南一社會(乙版)習作</t>
  </si>
  <si>
    <t>何嘉仁</t>
  </si>
  <si>
    <t>國小何嘉仁英語課本 (Super Fun)</t>
  </si>
  <si>
    <t>國小何嘉仁英語習作 (Super Fun)</t>
  </si>
  <si>
    <t>國小何嘉仁英語課本 (Story.com)</t>
  </si>
  <si>
    <t>國小何嘉仁英語習作 (Story.com)</t>
  </si>
  <si>
    <t>國小何嘉仁英語(C版)課本 (eSTAR)</t>
  </si>
  <si>
    <t>國小何嘉仁英語(C版)習作 (eSTAR)</t>
  </si>
  <si>
    <t>國小何嘉仁英語(B版)課本 (Give Me Five)</t>
  </si>
  <si>
    <t>國小何嘉仁英語(B版)習作 (Give Me Five)</t>
  </si>
  <si>
    <t>何嘉仁</t>
    <phoneticPr fontId="4" type="noConversion"/>
  </si>
  <si>
    <t>5-76列</t>
    <phoneticPr fontId="1" type="noConversion"/>
  </si>
  <si>
    <t>77-142列</t>
    <phoneticPr fontId="1" type="noConversion"/>
  </si>
  <si>
    <t>143-199列</t>
    <phoneticPr fontId="1" type="noConversion"/>
  </si>
  <si>
    <t>200-215列</t>
    <phoneticPr fontId="1" type="noConversion"/>
  </si>
  <si>
    <t>審定本</t>
    <phoneticPr fontId="8" type="noConversion"/>
  </si>
  <si>
    <t>藝能科</t>
    <phoneticPr fontId="8" type="noConversion"/>
  </si>
  <si>
    <t>一</t>
    <phoneticPr fontId="8" type="noConversion"/>
  </si>
  <si>
    <t>二</t>
    <phoneticPr fontId="8" type="noConversion"/>
  </si>
  <si>
    <t>四</t>
    <phoneticPr fontId="8" type="noConversion"/>
  </si>
  <si>
    <t>藝能科
合計</t>
    <phoneticPr fontId="8" type="noConversion"/>
  </si>
  <si>
    <t>審定本
合計</t>
    <phoneticPr fontId="8" type="noConversion"/>
  </si>
  <si>
    <t>110學年度第2學期審定本與藝能科教科書補助金額統計表</t>
    <phoneticPr fontId="8" type="noConversion"/>
  </si>
  <si>
    <t>年級</t>
  </si>
  <si>
    <t>課本</t>
  </si>
  <si>
    <t>習作</t>
  </si>
  <si>
    <t>一年級</t>
  </si>
  <si>
    <t>二年級</t>
  </si>
  <si>
    <t>三年級</t>
  </si>
  <si>
    <t>四年級</t>
  </si>
  <si>
    <t>五年級</t>
  </si>
  <si>
    <t>六年級</t>
  </si>
  <si>
    <t>學生用書</t>
    <phoneticPr fontId="1" type="noConversion"/>
  </si>
  <si>
    <t>合計</t>
    <phoneticPr fontId="8" type="noConversion"/>
  </si>
  <si>
    <t>每人補助金額</t>
    <phoneticPr fontId="8" type="noConversion"/>
  </si>
  <si>
    <t>教育部補助花東書籍費各年級金額示意表</t>
    <phoneticPr fontId="8" type="noConversion"/>
  </si>
  <si>
    <t>教育部補助花東書籍費</t>
    <phoneticPr fontId="8" type="noConversion"/>
  </si>
  <si>
    <t>教育部補助學生用書</t>
    <phoneticPr fontId="8" type="noConversion"/>
  </si>
  <si>
    <t>學生教科書補助申請總額一覽表</t>
    <phoneticPr fontId="8" type="noConversion"/>
  </si>
  <si>
    <t>自然與
生活科技</t>
    <phoneticPr fontId="8" type="noConversion"/>
  </si>
  <si>
    <t>審定本教科書補助合計</t>
    <phoneticPr fontId="8" type="noConversion"/>
  </si>
  <si>
    <t>每人補助金額</t>
    <phoneticPr fontId="8" type="noConversion"/>
  </si>
  <si>
    <t>年級總人數</t>
    <phoneticPr fontId="8" type="noConversion"/>
  </si>
  <si>
    <t>低收入及中低收入學生數</t>
    <phoneticPr fontId="8" type="noConversion"/>
  </si>
  <si>
    <t>　科目
年級</t>
    <phoneticPr fontId="8" type="noConversion"/>
  </si>
  <si>
    <r>
      <t xml:space="preserve">藝術
</t>
    </r>
    <r>
      <rPr>
        <sz val="9"/>
        <color theme="1"/>
        <rFont val="標楷體"/>
        <family val="4"/>
        <charset val="136"/>
      </rPr>
      <t>(與人文)</t>
    </r>
    <phoneticPr fontId="8" type="noConversion"/>
  </si>
  <si>
    <t>縣補助
學生數</t>
    <phoneticPr fontId="8" type="noConversion"/>
  </si>
  <si>
    <r>
      <t xml:space="preserve">年級
</t>
    </r>
    <r>
      <rPr>
        <sz val="11"/>
        <color indexed="8"/>
        <rFont val="標楷體"/>
        <family val="4"/>
        <charset val="136"/>
      </rPr>
      <t>補助金額</t>
    </r>
    <phoneticPr fontId="8" type="noConversion"/>
  </si>
  <si>
    <t>1.學校名稱請記得填寫，列印建議以「橫向」、「窄邊界」、縮小「85%~90%」最佳。</t>
    <phoneticPr fontId="8" type="noConversion"/>
  </si>
  <si>
    <r>
      <rPr>
        <sz val="14"/>
        <color theme="1"/>
        <rFont val="標楷體"/>
        <family val="4"/>
        <charset val="136"/>
      </rPr>
      <t>教育部補助</t>
    </r>
    <r>
      <rPr>
        <b/>
        <sz val="14"/>
        <color theme="1"/>
        <rFont val="標楷體"/>
        <family val="4"/>
        <charset val="136"/>
      </rPr>
      <t>學生用書</t>
    </r>
    <r>
      <rPr>
        <sz val="14"/>
        <color theme="1"/>
        <rFont val="標楷體"/>
        <family val="4"/>
        <charset val="136"/>
      </rPr>
      <t>各年級金額示意表</t>
    </r>
    <phoneticPr fontId="8" type="noConversion"/>
  </si>
  <si>
    <t>縣補助審定本與藝能科</t>
    <phoneticPr fontId="8" type="noConversion"/>
  </si>
  <si>
    <r>
      <rPr>
        <sz val="12"/>
        <color theme="1"/>
        <rFont val="標楷體"/>
        <family val="4"/>
        <charset val="136"/>
      </rPr>
      <t>藝術</t>
    </r>
    <r>
      <rPr>
        <sz val="10"/>
        <color theme="1"/>
        <rFont val="標楷體"/>
        <family val="4"/>
        <charset val="136"/>
      </rPr>
      <t xml:space="preserve">
</t>
    </r>
    <r>
      <rPr>
        <sz val="8"/>
        <color theme="1"/>
        <rFont val="標楷體"/>
        <family val="4"/>
        <charset val="136"/>
      </rPr>
      <t>(與人文)</t>
    </r>
    <phoneticPr fontId="8" type="noConversion"/>
  </si>
  <si>
    <t>↑花東書籍費分擔數</t>
    <phoneticPr fontId="8" type="noConversion"/>
  </si>
  <si>
    <t>↑縣補助分擔數</t>
    <phoneticPr fontId="8" type="noConversion"/>
  </si>
  <si>
    <t>3.教師(含特教師)倘有使用一般教科書需求，應計入「學校用書」申請。</t>
    <phoneticPr fontId="8" type="noConversion"/>
  </si>
  <si>
    <t>→以上欄位請從「教育部教科圖書共同通應採購作業」下載「補助統計檔」複製貼上←</t>
    <phoneticPr fontId="1" type="noConversion"/>
  </si>
  <si>
    <t>110學年度第2學期全校補助金額(A+B)</t>
    <phoneticPr fontId="8" type="noConversion"/>
  </si>
  <si>
    <t>補助對象：本縣公立國民中小學之學生。</t>
    <phoneticPr fontId="8" type="noConversion"/>
  </si>
  <si>
    <t>→→→→右方欄位僅供參考，免列印→→→</t>
    <phoneticPr fontId="1" type="noConversion"/>
  </si>
  <si>
    <t>110學年度第2學期補助「花東地區接受義務教育學生書籍費」學校基本資料調查表(A表）</t>
    <phoneticPr fontId="1" type="noConversion"/>
  </si>
  <si>
    <t xml:space="preserve">學校資本資料 </t>
    <phoneticPr fontId="1" type="noConversion"/>
  </si>
  <si>
    <r>
      <t xml:space="preserve">花東補助學生身分別資料
</t>
    </r>
    <r>
      <rPr>
        <sz val="10"/>
        <color indexed="10"/>
        <rFont val="標楷體"/>
        <family val="4"/>
        <charset val="136"/>
      </rPr>
      <t>(請填列B表)</t>
    </r>
    <phoneticPr fontId="1" type="noConversion"/>
  </si>
  <si>
    <t>接受書籍費補助百分比(C=B÷A)</t>
    <phoneticPr fontId="1" type="noConversion"/>
  </si>
  <si>
    <t>花東教科書書籍費補助需求</t>
    <phoneticPr fontId="1" type="noConversion"/>
  </si>
  <si>
    <t>校名</t>
    <phoneticPr fontId="1" type="noConversion"/>
  </si>
  <si>
    <t>班級數</t>
    <phoneticPr fontId="1" type="noConversion"/>
  </si>
  <si>
    <t>全校學生數(A)</t>
    <phoneticPr fontId="1" type="noConversion"/>
  </si>
  <si>
    <t>低</t>
    <phoneticPr fontId="1" type="noConversion"/>
  </si>
  <si>
    <t>中低</t>
    <phoneticPr fontId="1" type="noConversion"/>
  </si>
  <si>
    <t>小計(B)</t>
    <phoneticPr fontId="1" type="noConversion"/>
  </si>
  <si>
    <r>
      <t>補助需求人數</t>
    </r>
    <r>
      <rPr>
        <b/>
        <sz val="10"/>
        <rFont val="標楷體"/>
        <family val="4"/>
        <charset val="136"/>
      </rPr>
      <t>(B)</t>
    </r>
    <phoneticPr fontId="1" type="noConversion"/>
  </si>
  <si>
    <t>所需補助金額
(B表總金額)</t>
    <phoneticPr fontId="1" type="noConversion"/>
  </si>
  <si>
    <t>男</t>
    <phoneticPr fontId="1" type="noConversion"/>
  </si>
  <si>
    <t>女</t>
    <phoneticPr fontId="1" type="noConversion"/>
  </si>
  <si>
    <t>合計(A)</t>
    <phoneticPr fontId="1" type="noConversion"/>
  </si>
  <si>
    <t>收入戶</t>
    <phoneticPr fontId="1" type="noConversion"/>
  </si>
  <si>
    <t>合計</t>
    <phoneticPr fontId="1" type="noConversion"/>
  </si>
  <si>
    <t>必填</t>
    <phoneticPr fontId="1" type="noConversion"/>
  </si>
  <si>
    <t xml:space="preserve"> 註.未申請補助之學校也請回報相關基本資料，以利統計聯絡。</t>
    <phoneticPr fontId="1" type="noConversion"/>
  </si>
  <si>
    <r>
      <t>班級學生調查表（</t>
    </r>
    <r>
      <rPr>
        <sz val="20"/>
        <color indexed="10"/>
        <rFont val="標楷體"/>
        <family val="4"/>
        <charset val="136"/>
      </rPr>
      <t>Ｂ表</t>
    </r>
    <r>
      <rPr>
        <sz val="20"/>
        <rFont val="標楷體"/>
        <family val="4"/>
        <charset val="136"/>
      </rPr>
      <t xml:space="preserve">）   </t>
    </r>
    <r>
      <rPr>
        <sz val="14"/>
        <rFont val="標楷體"/>
        <family val="4"/>
        <charset val="136"/>
      </rPr>
      <t>皆為必填欄位</t>
    </r>
    <phoneticPr fontId="1" type="noConversion"/>
  </si>
  <si>
    <t>班級</t>
    <phoneticPr fontId="1" type="noConversion"/>
  </si>
  <si>
    <t>導師姓名</t>
    <phoneticPr fontId="1" type="noConversion"/>
  </si>
  <si>
    <t>學生姓名</t>
    <phoneticPr fontId="1" type="noConversion"/>
  </si>
  <si>
    <t>性別
(是=1,否=0)</t>
    <phoneticPr fontId="1" type="noConversion"/>
  </si>
  <si>
    <t>學生身分
(是=1,否=0)</t>
    <phoneticPr fontId="1" type="noConversion"/>
  </si>
  <si>
    <t>每人補助金額
(請參考統計表)</t>
    <phoneticPr fontId="1" type="noConversion"/>
  </si>
  <si>
    <t>低收</t>
    <phoneticPr fontId="1" type="noConversion"/>
  </si>
  <si>
    <t>中低收</t>
    <phoneticPr fontId="1" type="noConversion"/>
  </si>
  <si>
    <t>(範例)三甲</t>
    <phoneticPr fontId="1" type="noConversion"/>
  </si>
  <si>
    <t>孔鮮師</t>
    <phoneticPr fontId="1" type="noConversion"/>
  </si>
  <si>
    <t>張小明</t>
    <phoneticPr fontId="1" type="noConversion"/>
  </si>
  <si>
    <t>範例請自行刪除</t>
    <phoneticPr fontId="1" type="noConversion"/>
  </si>
  <si>
    <t>(自行增列)</t>
    <phoneticPr fontId="1" type="noConversion"/>
  </si>
  <si>
    <t>註.有關「學生身分別」欄，請擇一身分統計，切勿重複。</t>
    <phoneticPr fontId="1" type="noConversion"/>
  </si>
  <si>
    <t>年級補助金額
=(a)x(c)</t>
  </si>
  <si>
    <t>(a)</t>
  </si>
  <si>
    <t>(b)</t>
  </si>
  <si>
    <t>(c)</t>
  </si>
  <si>
    <t>(d)=(b)-(c)</t>
  </si>
  <si>
    <t>=(a)x(d)</t>
  </si>
  <si>
    <t>學生用書每人補助(e)</t>
    <phoneticPr fontId="1" type="noConversion"/>
  </si>
  <si>
    <r>
      <t>低收入及中低收入學生之</t>
    </r>
    <r>
      <rPr>
        <b/>
        <sz val="9"/>
        <color theme="1"/>
        <rFont val="標楷體"/>
        <family val="4"/>
        <charset val="136"/>
      </rPr>
      <t>學生用書</t>
    </r>
    <r>
      <rPr>
        <sz val="9"/>
        <color theme="1"/>
        <rFont val="標楷體"/>
        <family val="4"/>
        <charset val="136"/>
      </rPr>
      <t>合計
=(c)x(e)</t>
    </r>
    <phoneticPr fontId="1" type="noConversion"/>
  </si>
  <si>
    <r>
      <t>一般生之</t>
    </r>
    <r>
      <rPr>
        <b/>
        <sz val="11"/>
        <color theme="1"/>
        <rFont val="標楷體"/>
        <family val="4"/>
        <charset val="136"/>
      </rPr>
      <t>學生用書</t>
    </r>
    <r>
      <rPr>
        <sz val="11"/>
        <color theme="1"/>
        <rFont val="標楷體"/>
        <family val="4"/>
        <charset val="136"/>
      </rPr>
      <t>合計
=(d)x(e)</t>
    </r>
    <phoneticPr fontId="1" type="noConversion"/>
  </si>
  <si>
    <t>年級學生用書合計
=(b)x(e)</t>
    <phoneticPr fontId="1" type="noConversion"/>
  </si>
  <si>
    <t>審定本與藝能科
支出分攤</t>
    <phoneticPr fontId="1" type="noConversion"/>
  </si>
  <si>
    <t>編號</t>
  </si>
  <si>
    <t>適用年級</t>
  </si>
  <si>
    <t>類別</t>
  </si>
  <si>
    <t>單本價格</t>
  </si>
  <si>
    <t>國語</t>
  </si>
  <si>
    <t>–</t>
  </si>
  <si>
    <t>數學</t>
  </si>
  <si>
    <t>生活</t>
  </si>
  <si>
    <t>健康與體育</t>
  </si>
  <si>
    <t>自然科學</t>
  </si>
  <si>
    <t>綜合活動</t>
  </si>
  <si>
    <t>社會</t>
  </si>
  <si>
    <t>藝術</t>
  </si>
  <si>
    <t>英語</t>
  </si>
  <si>
    <t>英語(D版)</t>
  </si>
  <si>
    <t>數學(乙版)</t>
  </si>
  <si>
    <t>自然與生活科技</t>
  </si>
  <si>
    <t>藝術與人文</t>
  </si>
  <si>
    <t>英語(C版)</t>
  </si>
  <si>
    <t>社會(乙版)</t>
  </si>
  <si>
    <t>英語(B版)</t>
  </si>
  <si>
    <r>
      <rPr>
        <sz val="12"/>
        <rFont val="標楷體"/>
        <family val="4"/>
        <charset val="136"/>
      </rPr>
      <t>康軒
110P001</t>
    </r>
  </si>
  <si>
    <r>
      <rPr>
        <sz val="12"/>
        <rFont val="標楷體"/>
        <family val="4"/>
        <charset val="136"/>
      </rPr>
      <t>翰林
110P002</t>
    </r>
  </si>
  <si>
    <r>
      <rPr>
        <sz val="12"/>
        <rFont val="標楷體"/>
        <family val="4"/>
        <charset val="136"/>
      </rPr>
      <t>南一
110P003</t>
    </r>
  </si>
  <si>
    <r>
      <rPr>
        <sz val="12"/>
        <rFont val="標楷體"/>
        <family val="4"/>
        <charset val="136"/>
      </rPr>
      <t>何嘉仁
110P004</t>
    </r>
  </si>
  <si>
    <r>
      <rPr>
        <sz val="12"/>
        <rFont val="標楷體"/>
        <family val="4"/>
        <charset val="136"/>
      </rPr>
      <t>學習領域(科)</t>
    </r>
  </si>
  <si>
    <t>教育部補助(學生用書)</t>
  </si>
  <si>
    <t>花東書籍費及縣補助</t>
  </si>
  <si>
    <t>110學年度第二學期教科圖書各版本單價表(國小)</t>
  </si>
  <si>
    <r>
      <rPr>
        <sz val="12"/>
        <rFont val="標楷體"/>
        <family val="4"/>
        <charset val="136"/>
      </rPr>
      <t xml:space="preserve">68
</t>
    </r>
    <r>
      <rPr>
        <sz val="10"/>
        <rFont val="標楷體"/>
        <family val="4"/>
        <charset val="136"/>
      </rPr>
      <t>Here We Go</t>
    </r>
    <phoneticPr fontId="1" type="noConversion"/>
  </si>
  <si>
    <r>
      <rPr>
        <sz val="12"/>
        <rFont val="標楷體"/>
        <family val="4"/>
        <charset val="136"/>
      </rPr>
      <t xml:space="preserve">27
</t>
    </r>
    <r>
      <rPr>
        <sz val="10"/>
        <rFont val="標楷體"/>
        <family val="4"/>
        <charset val="136"/>
      </rPr>
      <t>Here We Go</t>
    </r>
    <phoneticPr fontId="1" type="noConversion"/>
  </si>
  <si>
    <r>
      <t xml:space="preserve">52
</t>
    </r>
    <r>
      <rPr>
        <sz val="10"/>
        <rFont val="標楷體"/>
        <family val="4"/>
        <charset val="136"/>
      </rPr>
      <t>Super Fun</t>
    </r>
    <phoneticPr fontId="1" type="noConversion"/>
  </si>
  <si>
    <r>
      <t xml:space="preserve">22
</t>
    </r>
    <r>
      <rPr>
        <sz val="10"/>
        <rFont val="標楷體"/>
        <family val="4"/>
        <charset val="136"/>
      </rPr>
      <t>Super Fun</t>
    </r>
    <phoneticPr fontId="1" type="noConversion"/>
  </si>
  <si>
    <r>
      <rPr>
        <sz val="12"/>
        <rFont val="標楷體"/>
        <family val="4"/>
        <charset val="136"/>
      </rPr>
      <t xml:space="preserve">61
</t>
    </r>
    <r>
      <rPr>
        <sz val="10"/>
        <rFont val="標楷體"/>
        <family val="4"/>
        <charset val="136"/>
      </rPr>
      <t>Wonder World</t>
    </r>
    <phoneticPr fontId="1" type="noConversion"/>
  </si>
  <si>
    <r>
      <rPr>
        <sz val="12"/>
        <rFont val="標楷體"/>
        <family val="4"/>
        <charset val="136"/>
      </rPr>
      <t xml:space="preserve">33
</t>
    </r>
    <r>
      <rPr>
        <sz val="10"/>
        <rFont val="標楷體"/>
        <family val="4"/>
        <charset val="136"/>
      </rPr>
      <t>Wonder World</t>
    </r>
    <phoneticPr fontId="1" type="noConversion"/>
  </si>
  <si>
    <r>
      <rPr>
        <sz val="12"/>
        <rFont val="標楷體"/>
        <family val="4"/>
        <charset val="136"/>
      </rPr>
      <t xml:space="preserve">64
</t>
    </r>
    <r>
      <rPr>
        <sz val="10"/>
        <rFont val="標楷體"/>
        <family val="4"/>
        <charset val="136"/>
      </rPr>
      <t>Hello,Kids!</t>
    </r>
    <phoneticPr fontId="1" type="noConversion"/>
  </si>
  <si>
    <r>
      <rPr>
        <sz val="12"/>
        <rFont val="標楷體"/>
        <family val="4"/>
        <charset val="136"/>
      </rPr>
      <t xml:space="preserve">28
</t>
    </r>
    <r>
      <rPr>
        <sz val="10"/>
        <rFont val="標楷體"/>
        <family val="4"/>
        <charset val="136"/>
      </rPr>
      <t>Hello,Kids!</t>
    </r>
    <phoneticPr fontId="1" type="noConversion"/>
  </si>
  <si>
    <r>
      <t xml:space="preserve">50
</t>
    </r>
    <r>
      <rPr>
        <sz val="10"/>
        <rFont val="標楷體"/>
        <family val="4"/>
        <charset val="136"/>
      </rPr>
      <t>Dino on the go</t>
    </r>
    <phoneticPr fontId="1" type="noConversion"/>
  </si>
  <si>
    <r>
      <rPr>
        <sz val="12"/>
        <rFont val="標楷體"/>
        <family val="4"/>
        <charset val="136"/>
      </rPr>
      <t xml:space="preserve">32
</t>
    </r>
    <r>
      <rPr>
        <sz val="10"/>
        <rFont val="標楷體"/>
        <family val="4"/>
        <charset val="136"/>
      </rPr>
      <t>Dino on the go</t>
    </r>
    <phoneticPr fontId="1" type="noConversion"/>
  </si>
  <si>
    <r>
      <rPr>
        <sz val="12"/>
        <rFont val="標楷體"/>
        <family val="4"/>
        <charset val="136"/>
      </rPr>
      <t xml:space="preserve">53
</t>
    </r>
    <r>
      <rPr>
        <sz val="10"/>
        <rFont val="標楷體"/>
        <family val="4"/>
        <charset val="136"/>
      </rPr>
      <t>Story.com</t>
    </r>
    <phoneticPr fontId="1" type="noConversion"/>
  </si>
  <si>
    <r>
      <t xml:space="preserve">21
</t>
    </r>
    <r>
      <rPr>
        <sz val="10"/>
        <rFont val="標楷體"/>
        <family val="4"/>
        <charset val="136"/>
      </rPr>
      <t>Story.com</t>
    </r>
    <phoneticPr fontId="1" type="noConversion"/>
  </si>
  <si>
    <r>
      <t xml:space="preserve">50
</t>
    </r>
    <r>
      <rPr>
        <sz val="10"/>
        <rFont val="標楷體"/>
        <family val="4"/>
        <charset val="136"/>
      </rPr>
      <t>Follow Me</t>
    </r>
    <phoneticPr fontId="1" type="noConversion"/>
  </si>
  <si>
    <r>
      <t xml:space="preserve">25
</t>
    </r>
    <r>
      <rPr>
        <sz val="10"/>
        <rFont val="標楷體"/>
        <family val="4"/>
        <charset val="136"/>
      </rPr>
      <t>Follow Me</t>
    </r>
    <phoneticPr fontId="1" type="noConversion"/>
  </si>
  <si>
    <r>
      <rPr>
        <sz val="12"/>
        <rFont val="標楷體"/>
        <family val="4"/>
        <charset val="136"/>
      </rPr>
      <t xml:space="preserve">61
</t>
    </r>
    <r>
      <rPr>
        <sz val="10"/>
        <rFont val="標楷體"/>
        <family val="4"/>
        <charset val="136"/>
      </rPr>
      <t>Hello,Kids!</t>
    </r>
    <phoneticPr fontId="1" type="noConversion"/>
  </si>
  <si>
    <r>
      <rPr>
        <sz val="12"/>
        <rFont val="標楷體"/>
        <family val="4"/>
        <charset val="136"/>
      </rPr>
      <t xml:space="preserve">33
</t>
    </r>
    <r>
      <rPr>
        <sz val="10"/>
        <rFont val="標楷體"/>
        <family val="4"/>
        <charset val="136"/>
      </rPr>
      <t>Hello,Kids!</t>
    </r>
    <phoneticPr fontId="1" type="noConversion"/>
  </si>
  <si>
    <r>
      <t xml:space="preserve">27
</t>
    </r>
    <r>
      <rPr>
        <sz val="10"/>
        <rFont val="標楷體"/>
        <family val="4"/>
        <charset val="136"/>
      </rPr>
      <t>Follow Me</t>
    </r>
    <phoneticPr fontId="1" type="noConversion"/>
  </si>
  <si>
    <r>
      <rPr>
        <sz val="12"/>
        <rFont val="標楷體"/>
        <family val="4"/>
        <charset val="136"/>
      </rPr>
      <t xml:space="preserve">50
</t>
    </r>
    <r>
      <rPr>
        <sz val="10"/>
        <rFont val="標楷體"/>
        <family val="4"/>
        <charset val="136"/>
      </rPr>
      <t>Dino on the go</t>
    </r>
    <phoneticPr fontId="1" type="noConversion"/>
  </si>
  <si>
    <r>
      <rPr>
        <sz val="12"/>
        <rFont val="標楷體"/>
        <family val="4"/>
        <charset val="136"/>
      </rPr>
      <t xml:space="preserve">25
</t>
    </r>
    <r>
      <rPr>
        <sz val="10"/>
        <rFont val="標楷體"/>
        <family val="4"/>
        <charset val="136"/>
      </rPr>
      <t>Dino on the go</t>
    </r>
    <phoneticPr fontId="1" type="noConversion"/>
  </si>
  <si>
    <r>
      <rPr>
        <sz val="12"/>
        <rFont val="標楷體"/>
        <family val="4"/>
        <charset val="136"/>
      </rPr>
      <t xml:space="preserve">61
</t>
    </r>
    <r>
      <rPr>
        <sz val="10"/>
        <rFont val="標楷體"/>
        <family val="4"/>
        <charset val="136"/>
      </rPr>
      <t>Story.com</t>
    </r>
    <phoneticPr fontId="1" type="noConversion"/>
  </si>
  <si>
    <r>
      <rPr>
        <sz val="12"/>
        <rFont val="標楷體"/>
        <family val="4"/>
        <charset val="136"/>
      </rPr>
      <t xml:space="preserve">30
</t>
    </r>
    <r>
      <rPr>
        <sz val="10"/>
        <rFont val="標楷體"/>
        <family val="4"/>
        <charset val="136"/>
      </rPr>
      <t>Story.com</t>
    </r>
    <phoneticPr fontId="1" type="noConversion"/>
  </si>
  <si>
    <r>
      <rPr>
        <sz val="12"/>
        <rFont val="標楷體"/>
        <family val="4"/>
        <charset val="136"/>
      </rPr>
      <t xml:space="preserve">54
</t>
    </r>
    <r>
      <rPr>
        <sz val="10"/>
        <rFont val="標楷體"/>
        <family val="4"/>
        <charset val="136"/>
      </rPr>
      <t>Hello,Kids!</t>
    </r>
    <phoneticPr fontId="1" type="noConversion"/>
  </si>
  <si>
    <r>
      <rPr>
        <sz val="12"/>
        <rFont val="標楷體"/>
        <family val="4"/>
        <charset val="136"/>
      </rPr>
      <t xml:space="preserve">35
</t>
    </r>
    <r>
      <rPr>
        <sz val="10"/>
        <rFont val="標楷體"/>
        <family val="4"/>
        <charset val="136"/>
      </rPr>
      <t>Hello,Kids!</t>
    </r>
    <phoneticPr fontId="1" type="noConversion"/>
  </si>
  <si>
    <r>
      <rPr>
        <sz val="12"/>
        <rFont val="標楷體"/>
        <family val="4"/>
        <charset val="136"/>
      </rPr>
      <t xml:space="preserve">47
</t>
    </r>
    <r>
      <rPr>
        <sz val="10"/>
        <rFont val="標楷體"/>
        <family val="4"/>
        <charset val="136"/>
      </rPr>
      <t>Follow Me</t>
    </r>
    <phoneticPr fontId="1" type="noConversion"/>
  </si>
  <si>
    <r>
      <rPr>
        <sz val="12"/>
        <rFont val="標楷體"/>
        <family val="4"/>
        <charset val="136"/>
      </rPr>
      <t xml:space="preserve">28
</t>
    </r>
    <r>
      <rPr>
        <sz val="10"/>
        <rFont val="標楷體"/>
        <family val="4"/>
        <charset val="136"/>
      </rPr>
      <t>Follow Me</t>
    </r>
    <phoneticPr fontId="1" type="noConversion"/>
  </si>
  <si>
    <r>
      <t xml:space="preserve">49
</t>
    </r>
    <r>
      <rPr>
        <sz val="10"/>
        <rFont val="標楷體"/>
        <family val="4"/>
        <charset val="136"/>
      </rPr>
      <t>Dino on the go</t>
    </r>
    <phoneticPr fontId="1" type="noConversion"/>
  </si>
  <si>
    <r>
      <rPr>
        <sz val="12"/>
        <rFont val="標楷體"/>
        <family val="4"/>
        <charset val="136"/>
      </rPr>
      <t xml:space="preserve">27
</t>
    </r>
    <r>
      <rPr>
        <sz val="10"/>
        <rFont val="標楷體"/>
        <family val="4"/>
        <charset val="136"/>
      </rPr>
      <t>Dino on the go</t>
    </r>
    <phoneticPr fontId="1" type="noConversion"/>
  </si>
  <si>
    <r>
      <rPr>
        <sz val="12"/>
        <rFont val="標楷體"/>
        <family val="4"/>
        <charset val="136"/>
      </rPr>
      <t xml:space="preserve">52
</t>
    </r>
    <r>
      <rPr>
        <sz val="10"/>
        <rFont val="標楷體"/>
        <family val="4"/>
        <charset val="136"/>
      </rPr>
      <t>Story.com</t>
    </r>
    <phoneticPr fontId="1" type="noConversion"/>
  </si>
  <si>
    <r>
      <rPr>
        <sz val="12"/>
        <rFont val="標楷體"/>
        <family val="4"/>
        <charset val="136"/>
      </rPr>
      <t xml:space="preserve">24
</t>
    </r>
    <r>
      <rPr>
        <sz val="10"/>
        <rFont val="標楷體"/>
        <family val="4"/>
        <charset val="136"/>
      </rPr>
      <t>Story.com</t>
    </r>
    <phoneticPr fontId="1" type="noConversion"/>
  </si>
  <si>
    <r>
      <rPr>
        <sz val="12"/>
        <rFont val="標楷體"/>
        <family val="4"/>
        <charset val="136"/>
      </rPr>
      <t xml:space="preserve">61
</t>
    </r>
    <r>
      <rPr>
        <sz val="10"/>
        <rFont val="標楷體"/>
        <family val="4"/>
        <charset val="136"/>
      </rPr>
      <t>Give Me Five</t>
    </r>
    <phoneticPr fontId="1" type="noConversion"/>
  </si>
  <si>
    <r>
      <t xml:space="preserve">20
</t>
    </r>
    <r>
      <rPr>
        <sz val="10"/>
        <rFont val="標楷體"/>
        <family val="4"/>
        <charset val="136"/>
      </rPr>
      <t>Give Me Five</t>
    </r>
    <phoneticPr fontId="1" type="noConversion"/>
  </si>
  <si>
    <r>
      <t xml:space="preserve">43 </t>
    </r>
    <r>
      <rPr>
        <sz val="10"/>
        <rFont val="標楷體"/>
        <family val="4"/>
        <charset val="136"/>
      </rPr>
      <t>eSTAR</t>
    </r>
    <phoneticPr fontId="1" type="noConversion"/>
  </si>
  <si>
    <r>
      <t xml:space="preserve">20 </t>
    </r>
    <r>
      <rPr>
        <sz val="10"/>
        <rFont val="標楷體"/>
        <family val="4"/>
        <charset val="136"/>
      </rPr>
      <t>eSTAR</t>
    </r>
    <phoneticPr fontId="1" type="noConversion"/>
  </si>
  <si>
    <r>
      <t xml:space="preserve">50 </t>
    </r>
    <r>
      <rPr>
        <sz val="10"/>
        <rFont val="標楷體"/>
        <family val="4"/>
        <charset val="136"/>
      </rPr>
      <t>eSTAR</t>
    </r>
    <phoneticPr fontId="1" type="noConversion"/>
  </si>
  <si>
    <t>○○國民小學</t>
    <phoneticPr fontId="1" type="noConversion"/>
  </si>
  <si>
    <r>
      <rPr>
        <sz val="10"/>
        <color indexed="8"/>
        <rFont val="標楷體"/>
        <family val="4"/>
        <charset val="136"/>
      </rPr>
      <t>無</t>
    </r>
    <phoneticPr fontId="1" type="noConversion"/>
  </si>
  <si>
    <t>學習領域(科)</t>
  </si>
  <si>
    <r>
      <rPr>
        <sz val="12"/>
        <rFont val="標楷體"/>
        <family val="4"/>
        <charset val="136"/>
      </rPr>
      <t>適用
年級</t>
    </r>
  </si>
  <si>
    <t>康軒</t>
    <phoneticPr fontId="1" type="noConversion"/>
  </si>
  <si>
    <t>應付所有書商學生教科書金額總計</t>
    <phoneticPr fontId="8" type="noConversion"/>
  </si>
  <si>
    <r>
      <rPr>
        <sz val="12"/>
        <color rgb="FFFF0000"/>
        <rFont val="標楷體"/>
        <family val="4"/>
        <charset val="136"/>
      </rPr>
      <t>特教生/補校生</t>
    </r>
    <r>
      <rPr>
        <sz val="12"/>
        <color theme="1"/>
        <rFont val="標楷體"/>
        <family val="4"/>
        <charset val="136"/>
      </rPr>
      <t>使用審定本教科書補助金額</t>
    </r>
    <r>
      <rPr>
        <sz val="12"/>
        <color indexed="10"/>
        <rFont val="標楷體"/>
        <family val="4"/>
        <charset val="136"/>
      </rPr>
      <t>(原價計算，自行填列，無則免填)</t>
    </r>
    <r>
      <rPr>
        <sz val="12"/>
        <color indexed="8"/>
        <rFont val="標楷體"/>
        <family val="4"/>
        <charset val="136"/>
      </rPr>
      <t>(B)</t>
    </r>
    <phoneticPr fontId="8" type="noConversion"/>
  </si>
  <si>
    <t>無</t>
    <phoneticPr fontId="8" type="noConversion"/>
  </si>
  <si>
    <t>無</t>
    <phoneticPr fontId="8" type="noConversion"/>
  </si>
  <si>
    <t>無</t>
    <phoneticPr fontId="8" type="noConversion"/>
  </si>
  <si>
    <t>教科書單本價格</t>
    <phoneticPr fontId="1" type="noConversion"/>
  </si>
  <si>
    <t>第二冊</t>
  </si>
  <si>
    <t>第十二冊</t>
  </si>
  <si>
    <t>第四冊</t>
  </si>
  <si>
    <t>第六冊</t>
  </si>
  <si>
    <t>第八冊</t>
  </si>
  <si>
    <t>第十冊</t>
  </si>
  <si>
    <t>第二冊</t>
    <phoneticPr fontId="1" type="noConversion"/>
  </si>
  <si>
    <t>年級</t>
    <phoneticPr fontId="1" type="noConversion"/>
  </si>
  <si>
    <t>學校用書補助(本)</t>
    <phoneticPr fontId="1" type="noConversion"/>
  </si>
  <si>
    <t>學校用書補助金額小計</t>
    <phoneticPr fontId="1" type="noConversion"/>
  </si>
  <si>
    <t>1.請將本表列印核章後，於111年2月18日(星期五)前，掃描上傳至校務系統。</t>
    <phoneticPr fontId="8" type="noConversion"/>
  </si>
  <si>
    <t>2.本表核章後，請於111年2月18日(星期五)前，掃描上傳至校務系統。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</si>
</sst>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-* #,##0_-;\-* #,##0_-;_-* &quot;-&quot;_-;_-@_-"/>
    <numFmt numFmtId="43" formatCode="_-* #,##0.00_-;\-* #,##0.00_-;_-* &quot;-&quot;??_-;_-@_-"/>
    <numFmt numFmtId="176" formatCode="0_ "/>
    <numFmt numFmtId="177" formatCode="#,##0_);[Red]\(#,##0\)"/>
    <numFmt numFmtId="178" formatCode="#,##0_ "/>
    <numFmt numFmtId="179" formatCode="_-* #,##0_-;\-* #,##0_-;_-* &quot;-&quot;??_-;_-@_-"/>
    <numFmt numFmtId="180" formatCode="0.0%"/>
  </numFmts>
  <fonts count="81">
    <font>
      <sz val="10"/>
      <name val="新細明體"/>
      <family val="1"/>
      <charset val="136"/>
    </font>
    <font>
      <sz val="9"/>
      <name val="新細明體"/>
      <family val="1"/>
      <charset val="136"/>
    </font>
    <font>
      <sz val="10"/>
      <name val="細明體"/>
      <family val="3"/>
      <charset val="136"/>
    </font>
    <font>
      <sz val="12"/>
      <name val="細明體"/>
      <family val="3"/>
      <charset val="136"/>
    </font>
    <font>
      <sz val="9"/>
      <name val="細明體"/>
      <family val="3"/>
      <charset val="136"/>
    </font>
    <font>
      <sz val="10"/>
      <name val="微軟正黑體"/>
      <family val="2"/>
      <charset val="136"/>
    </font>
    <font>
      <sz val="8"/>
      <name val="新細明體"/>
      <family val="1"/>
      <charset val="136"/>
    </font>
    <font>
      <sz val="20"/>
      <name val="微軟正黑體"/>
      <family val="2"/>
      <charset val="136"/>
    </font>
    <font>
      <sz val="9"/>
      <name val="新細明體"/>
      <family val="1"/>
      <charset val="136"/>
    </font>
    <font>
      <sz val="12"/>
      <color indexed="8"/>
      <name val="標楷體"/>
      <family val="4"/>
      <charset val="136"/>
    </font>
    <font>
      <sz val="6"/>
      <name val="新細明體"/>
      <family val="1"/>
      <charset val="136"/>
    </font>
    <font>
      <sz val="12"/>
      <name val="標楷體"/>
      <family val="4"/>
      <charset val="136"/>
    </font>
    <font>
      <sz val="12"/>
      <color indexed="10"/>
      <name val="標楷體"/>
      <family val="4"/>
      <charset val="136"/>
    </font>
    <font>
      <sz val="7.5"/>
      <name val="標楷體"/>
      <family val="4"/>
      <charset val="136"/>
    </font>
    <font>
      <sz val="10"/>
      <color rgb="FF000000"/>
      <name val="Times New Roman"/>
      <family val="1"/>
    </font>
    <font>
      <sz val="10"/>
      <color theme="9" tint="-0.499984740745262"/>
      <name val="細明體"/>
      <family val="3"/>
      <charset val="136"/>
    </font>
    <font>
      <sz val="10"/>
      <color theme="9" tint="-0.499984740745262"/>
      <name val="新細明體"/>
      <family val="1"/>
      <charset val="136"/>
    </font>
    <font>
      <sz val="10"/>
      <color theme="9" tint="-0.499984740745262"/>
      <name val="微軟正黑體"/>
      <family val="2"/>
      <charset val="136"/>
    </font>
    <font>
      <b/>
      <sz val="16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sz val="16"/>
      <color rgb="FFFF0000"/>
      <name val="標楷體"/>
      <family val="4"/>
      <charset val="136"/>
    </font>
    <font>
      <sz val="10"/>
      <color theme="1"/>
      <name val="標楷體"/>
      <family val="4"/>
      <charset val="136"/>
    </font>
    <font>
      <sz val="7.5"/>
      <color rgb="FF000000"/>
      <name val="標楷體"/>
      <family val="4"/>
      <charset val="136"/>
    </font>
    <font>
      <sz val="10"/>
      <color rgb="FF000000"/>
      <name val="Segoe UI Black"/>
      <family val="2"/>
    </font>
    <font>
      <sz val="8"/>
      <color theme="1"/>
      <name val="標楷體"/>
      <family val="4"/>
      <charset val="136"/>
    </font>
    <font>
      <sz val="10"/>
      <color rgb="FF002060"/>
      <name val="細明體"/>
      <family val="3"/>
      <charset val="136"/>
    </font>
    <font>
      <sz val="10"/>
      <color rgb="FF002060"/>
      <name val="新細明體"/>
      <family val="1"/>
      <charset val="136"/>
    </font>
    <font>
      <sz val="10"/>
      <color theme="6" tint="-0.249977111117893"/>
      <name val="細明體"/>
      <family val="3"/>
      <charset val="136"/>
    </font>
    <font>
      <sz val="10"/>
      <color theme="6" tint="-0.249977111117893"/>
      <name val="新細明體"/>
      <family val="1"/>
      <charset val="136"/>
    </font>
    <font>
      <sz val="10"/>
      <color theme="6" tint="-0.249977111117893"/>
      <name val="微軟正黑體"/>
      <family val="2"/>
      <charset val="136"/>
    </font>
    <font>
      <sz val="10"/>
      <color rgb="FF002060"/>
      <name val="微軟正黑體"/>
      <family val="2"/>
      <charset val="136"/>
    </font>
    <font>
      <sz val="12"/>
      <color rgb="FF0033CC"/>
      <name val="標楷體"/>
      <family val="4"/>
      <charset val="136"/>
    </font>
    <font>
      <sz val="9"/>
      <color theme="1"/>
      <name val="標楷體"/>
      <family val="4"/>
      <charset val="136"/>
    </font>
    <font>
      <sz val="11"/>
      <color theme="1"/>
      <name val="標楷體"/>
      <family val="4"/>
      <charset val="136"/>
    </font>
    <font>
      <b/>
      <sz val="16"/>
      <color rgb="FF0033CC"/>
      <name val="標楷體"/>
      <family val="4"/>
      <charset val="136"/>
    </font>
    <font>
      <sz val="18"/>
      <color rgb="FFFF0000"/>
      <name val="微軟正黑體"/>
      <family val="2"/>
      <charset val="136"/>
    </font>
    <font>
      <b/>
      <sz val="14"/>
      <color theme="1"/>
      <name val="標楷體"/>
      <family val="4"/>
      <charset val="136"/>
    </font>
    <font>
      <b/>
      <sz val="14"/>
      <name val="標楷體"/>
      <family val="4"/>
      <charset val="136"/>
    </font>
    <font>
      <sz val="10"/>
      <name val="新細明體"/>
      <family val="1"/>
      <charset val="136"/>
    </font>
    <font>
      <sz val="12"/>
      <color rgb="FFFF0000"/>
      <name val="標楷體"/>
      <family val="4"/>
      <charset val="136"/>
    </font>
    <font>
      <sz val="9"/>
      <color indexed="81"/>
      <name val="Tahoma"/>
      <family val="2"/>
    </font>
    <font>
      <b/>
      <sz val="9"/>
      <color indexed="81"/>
      <name val="細明體"/>
      <family val="3"/>
      <charset val="136"/>
    </font>
    <font>
      <sz val="14"/>
      <color theme="1"/>
      <name val="標楷體"/>
      <family val="4"/>
      <charset val="136"/>
    </font>
    <font>
      <sz val="11"/>
      <color indexed="8"/>
      <name val="標楷體"/>
      <family val="4"/>
      <charset val="136"/>
    </font>
    <font>
      <b/>
      <sz val="9"/>
      <color theme="1"/>
      <name val="標楷體"/>
      <family val="4"/>
      <charset val="136"/>
    </font>
    <font>
      <b/>
      <sz val="11"/>
      <color theme="1"/>
      <name val="標楷體"/>
      <family val="4"/>
      <charset val="136"/>
    </font>
    <font>
      <sz val="11"/>
      <name val="新細明體"/>
      <family val="1"/>
      <charset val="136"/>
    </font>
    <font>
      <sz val="12"/>
      <name val="新細明體"/>
      <family val="1"/>
      <charset val="136"/>
    </font>
    <font>
      <sz val="16"/>
      <name val="標楷體"/>
      <family val="4"/>
      <charset val="136"/>
    </font>
    <font>
      <sz val="14"/>
      <name val="標楷體"/>
      <family val="4"/>
      <charset val="136"/>
    </font>
    <font>
      <sz val="10"/>
      <name val="標楷體"/>
      <family val="4"/>
      <charset val="136"/>
    </font>
    <font>
      <sz val="10"/>
      <color indexed="10"/>
      <name val="標楷體"/>
      <family val="4"/>
      <charset val="136"/>
    </font>
    <font>
      <sz val="11"/>
      <name val="標楷體"/>
      <family val="4"/>
      <charset val="136"/>
    </font>
    <font>
      <b/>
      <sz val="10"/>
      <name val="標楷體"/>
      <family val="4"/>
      <charset val="136"/>
    </font>
    <font>
      <sz val="11"/>
      <color rgb="FFFF0000"/>
      <name val="標楷體"/>
      <family val="4"/>
      <charset val="136"/>
    </font>
    <font>
      <sz val="10"/>
      <color indexed="10"/>
      <name val="新細明體"/>
      <family val="1"/>
      <charset val="136"/>
    </font>
    <font>
      <sz val="12"/>
      <color indexed="10"/>
      <name val="新細明體"/>
      <family val="1"/>
      <charset val="136"/>
    </font>
    <font>
      <sz val="20"/>
      <name val="標楷體"/>
      <family val="4"/>
      <charset val="136"/>
    </font>
    <font>
      <sz val="20"/>
      <color indexed="10"/>
      <name val="標楷體"/>
      <family val="4"/>
      <charset val="136"/>
    </font>
    <font>
      <b/>
      <sz val="10"/>
      <color indexed="8"/>
      <name val="標楷體"/>
      <family val="4"/>
      <charset val="136"/>
    </font>
    <font>
      <sz val="16"/>
      <name val="新細明體"/>
      <family val="1"/>
      <charset val="136"/>
    </font>
    <font>
      <sz val="10"/>
      <color indexed="8"/>
      <name val="新細明體"/>
      <family val="1"/>
      <charset val="136"/>
    </font>
    <font>
      <sz val="10"/>
      <color theme="1"/>
      <name val="新細明體"/>
      <family val="1"/>
      <charset val="136"/>
    </font>
    <font>
      <sz val="11"/>
      <name val="新細明體"/>
      <family val="1"/>
      <charset val="136"/>
      <scheme val="major"/>
    </font>
    <font>
      <sz val="16"/>
      <color indexed="81"/>
      <name val="細明體"/>
      <family val="3"/>
      <charset val="136"/>
    </font>
    <font>
      <sz val="10"/>
      <color rgb="FF000000"/>
      <name val="Times New Roman"/>
      <family val="1"/>
    </font>
    <font>
      <sz val="12"/>
      <color rgb="FF000000"/>
      <name val="標楷體"/>
      <family val="4"/>
      <charset val="136"/>
    </font>
    <font>
      <sz val="10"/>
      <color rgb="FF000000"/>
      <name val="標楷體"/>
      <family val="4"/>
      <charset val="136"/>
    </font>
    <font>
      <sz val="14"/>
      <color rgb="FF000000"/>
      <name val="標楷體"/>
      <family val="4"/>
      <charset val="136"/>
    </font>
    <font>
      <sz val="10"/>
      <color rgb="FFFF0000"/>
      <name val="標楷體"/>
      <family val="4"/>
      <charset val="136"/>
    </font>
    <font>
      <sz val="10"/>
      <color indexed="8"/>
      <name val="標楷體"/>
      <family val="4"/>
      <charset val="136"/>
    </font>
    <font>
      <sz val="12"/>
      <color rgb="FF000000"/>
      <name val="Times New Roman"/>
      <family val="1"/>
    </font>
    <font>
      <b/>
      <sz val="12"/>
      <name val="標楷體"/>
      <family val="4"/>
      <charset val="136"/>
    </font>
    <font>
      <sz val="18"/>
      <color rgb="FFFF0000"/>
      <name val="新細明體"/>
      <family val="1"/>
      <charset val="136"/>
    </font>
    <font>
      <b/>
      <sz val="18"/>
      <color rgb="FFFF0000"/>
      <name val="微軟正黑體"/>
      <family val="2"/>
      <charset val="136"/>
    </font>
    <font>
      <b/>
      <sz val="20"/>
      <name val="微軟正黑體"/>
      <family val="2"/>
      <charset val="136"/>
    </font>
    <font>
      <b/>
      <sz val="10"/>
      <name val="細明體"/>
      <family val="3"/>
      <charset val="136"/>
    </font>
    <font>
      <b/>
      <sz val="10"/>
      <color rgb="FF002060"/>
      <name val="細明體"/>
      <family val="3"/>
      <charset val="136"/>
    </font>
    <font>
      <b/>
      <sz val="10"/>
      <color theme="6" tint="-0.249977111117893"/>
      <name val="細明體"/>
      <family val="3"/>
      <charset val="136"/>
    </font>
    <font>
      <b/>
      <sz val="10"/>
      <color theme="9" tint="-0.499984740745262"/>
      <name val="細明體"/>
      <family val="3"/>
      <charset val="136"/>
    </font>
    <font>
      <b/>
      <sz val="10"/>
      <name val="新細明體"/>
      <family val="1"/>
      <charset val="136"/>
    </font>
  </fonts>
  <fills count="1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43"/>
        <bgColor indexed="64"/>
      </patternFill>
    </fill>
  </fills>
  <borders count="6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14" fillId="0" borderId="0"/>
    <xf numFmtId="43" fontId="38" fillId="0" borderId="0" applyFont="0" applyFill="0" applyBorder="0" applyAlignment="0" applyProtection="0">
      <alignment vertical="center"/>
    </xf>
    <xf numFmtId="0" fontId="47" fillId="0" borderId="0"/>
    <xf numFmtId="9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0" fontId="65" fillId="0" borderId="0"/>
  </cellStyleXfs>
  <cellXfs count="489">
    <xf numFmtId="0" fontId="0" fillId="0" borderId="0" xfId="0"/>
    <xf numFmtId="177" fontId="2" fillId="0" borderId="1" xfId="0" applyNumberFormat="1" applyFont="1" applyBorder="1" applyAlignment="1" applyProtection="1">
      <alignment horizontal="center"/>
      <protection locked="0"/>
    </xf>
    <xf numFmtId="177" fontId="2" fillId="0" borderId="2" xfId="0" applyNumberFormat="1" applyFont="1" applyBorder="1" applyAlignment="1" applyProtection="1">
      <alignment horizontal="center"/>
      <protection locked="0"/>
    </xf>
    <xf numFmtId="177" fontId="2" fillId="2" borderId="2" xfId="0" applyNumberFormat="1" applyFont="1" applyFill="1" applyBorder="1" applyAlignment="1" applyProtection="1">
      <alignment horizontal="center"/>
      <protection locked="0"/>
    </xf>
    <xf numFmtId="177" fontId="2" fillId="3" borderId="2" xfId="0" applyNumberFormat="1" applyFont="1" applyFill="1" applyBorder="1" applyAlignment="1" applyProtection="1">
      <alignment horizontal="center"/>
      <protection locked="0"/>
    </xf>
    <xf numFmtId="177" fontId="2" fillId="0" borderId="3" xfId="0" applyNumberFormat="1" applyFont="1" applyBorder="1" applyAlignment="1" applyProtection="1">
      <alignment horizontal="center"/>
      <protection locked="0"/>
    </xf>
    <xf numFmtId="177" fontId="15" fillId="0" borderId="1" xfId="0" applyNumberFormat="1" applyFont="1" applyBorder="1" applyAlignment="1" applyProtection="1">
      <alignment horizontal="center"/>
      <protection locked="0"/>
    </xf>
    <xf numFmtId="177" fontId="15" fillId="0" borderId="2" xfId="0" applyNumberFormat="1" applyFont="1" applyBorder="1" applyAlignment="1" applyProtection="1">
      <alignment horizontal="center"/>
      <protection locked="0"/>
    </xf>
    <xf numFmtId="177" fontId="15" fillId="2" borderId="2" xfId="0" applyNumberFormat="1" applyFont="1" applyFill="1" applyBorder="1" applyAlignment="1" applyProtection="1">
      <alignment horizontal="center"/>
      <protection locked="0"/>
    </xf>
    <xf numFmtId="177" fontId="15" fillId="3" borderId="2" xfId="0" applyNumberFormat="1" applyFont="1" applyFill="1" applyBorder="1" applyAlignment="1" applyProtection="1">
      <alignment horizontal="center"/>
      <protection locked="0"/>
    </xf>
    <xf numFmtId="177" fontId="15" fillId="0" borderId="3" xfId="0" applyNumberFormat="1" applyFont="1" applyBorder="1" applyAlignment="1" applyProtection="1">
      <alignment horizontal="center"/>
      <protection locked="0"/>
    </xf>
    <xf numFmtId="177" fontId="0" fillId="4" borderId="1" xfId="0" applyNumberFormat="1" applyFont="1" applyFill="1" applyBorder="1" applyProtection="1"/>
    <xf numFmtId="177" fontId="16" fillId="4" borderId="1" xfId="0" applyNumberFormat="1" applyFont="1" applyFill="1" applyBorder="1" applyProtection="1"/>
    <xf numFmtId="177" fontId="0" fillId="5" borderId="2" xfId="0" applyNumberFormat="1" applyFont="1" applyFill="1" applyBorder="1" applyProtection="1"/>
    <xf numFmtId="177" fontId="0" fillId="6" borderId="2" xfId="0" applyNumberFormat="1" applyFont="1" applyFill="1" applyBorder="1" applyProtection="1"/>
    <xf numFmtId="177" fontId="16" fillId="5" borderId="2" xfId="0" applyNumberFormat="1" applyFont="1" applyFill="1" applyBorder="1" applyProtection="1"/>
    <xf numFmtId="177" fontId="16" fillId="6" borderId="2" xfId="0" applyNumberFormat="1" applyFont="1" applyFill="1" applyBorder="1" applyProtection="1"/>
    <xf numFmtId="177" fontId="16" fillId="5" borderId="4" xfId="0" applyNumberFormat="1" applyFont="1" applyFill="1" applyBorder="1" applyProtection="1"/>
    <xf numFmtId="177" fontId="16" fillId="6" borderId="5" xfId="0" applyNumberFormat="1" applyFont="1" applyFill="1" applyBorder="1" applyProtection="1"/>
    <xf numFmtId="177" fontId="0" fillId="5" borderId="6" xfId="0" applyNumberFormat="1" applyFill="1" applyBorder="1" applyAlignment="1" applyProtection="1">
      <alignment horizontal="center" vertical="center"/>
    </xf>
    <xf numFmtId="176" fontId="2" fillId="6" borderId="7" xfId="0" applyNumberFormat="1" applyFont="1" applyFill="1" applyBorder="1" applyAlignment="1" applyProtection="1">
      <alignment horizontal="center" vertical="center" wrapText="1"/>
    </xf>
    <xf numFmtId="177" fontId="0" fillId="6" borderId="6" xfId="0" applyNumberFormat="1" applyFill="1" applyBorder="1" applyAlignment="1" applyProtection="1">
      <alignment horizontal="center" vertical="center"/>
    </xf>
    <xf numFmtId="177" fontId="0" fillId="7" borderId="2" xfId="0" applyNumberFormat="1" applyFont="1" applyFill="1" applyBorder="1" applyProtection="1"/>
    <xf numFmtId="177" fontId="16" fillId="7" borderId="2" xfId="0" applyNumberFormat="1" applyFont="1" applyFill="1" applyBorder="1" applyProtection="1"/>
    <xf numFmtId="177" fontId="16" fillId="7" borderId="5" xfId="0" applyNumberFormat="1" applyFont="1" applyFill="1" applyBorder="1" applyProtection="1"/>
    <xf numFmtId="177" fontId="0" fillId="7" borderId="6" xfId="0" applyNumberFormat="1" applyFill="1" applyBorder="1" applyAlignment="1" applyProtection="1">
      <alignment horizontal="center" vertical="center"/>
    </xf>
    <xf numFmtId="176" fontId="2" fillId="7" borderId="8" xfId="0" applyNumberFormat="1" applyFont="1" applyFill="1" applyBorder="1" applyAlignment="1" applyProtection="1">
      <alignment horizontal="center" vertical="center" wrapText="1"/>
    </xf>
    <xf numFmtId="177" fontId="0" fillId="7" borderId="3" xfId="0" applyNumberFormat="1" applyFont="1" applyFill="1" applyBorder="1" applyProtection="1"/>
    <xf numFmtId="177" fontId="16" fillId="7" borderId="3" xfId="0" applyNumberFormat="1" applyFont="1" applyFill="1" applyBorder="1" applyProtection="1"/>
    <xf numFmtId="177" fontId="16" fillId="7" borderId="9" xfId="0" applyNumberFormat="1" applyFont="1" applyFill="1" applyBorder="1" applyProtection="1"/>
    <xf numFmtId="176" fontId="2" fillId="5" borderId="7" xfId="0" applyNumberFormat="1" applyFont="1" applyFill="1" applyBorder="1" applyAlignment="1" applyProtection="1">
      <alignment horizontal="center" vertical="center" wrapText="1"/>
    </xf>
    <xf numFmtId="176" fontId="2" fillId="7" borderId="7" xfId="0" applyNumberFormat="1" applyFont="1" applyFill="1" applyBorder="1" applyAlignment="1" applyProtection="1">
      <alignment horizontal="center" vertical="center" wrapText="1"/>
    </xf>
    <xf numFmtId="0" fontId="0" fillId="0" borderId="2" xfId="0" applyBorder="1" applyAlignment="1" applyProtection="1">
      <alignment horizontal="center" vertical="center"/>
    </xf>
    <xf numFmtId="178" fontId="0" fillId="0" borderId="2" xfId="0" applyNumberFormat="1" applyBorder="1" applyAlignment="1" applyProtection="1">
      <alignment horizontal="center" vertical="center"/>
    </xf>
    <xf numFmtId="176" fontId="0" fillId="0" borderId="2" xfId="0" quotePrefix="1" applyNumberFormat="1" applyFont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horizontal="center" vertical="center" wrapText="1"/>
    </xf>
    <xf numFmtId="178" fontId="0" fillId="0" borderId="10" xfId="0" applyNumberFormat="1" applyFont="1" applyBorder="1" applyAlignment="1" applyProtection="1">
      <alignment horizontal="center" vertical="center"/>
    </xf>
    <xf numFmtId="178" fontId="0" fillId="0" borderId="11" xfId="0" applyNumberFormat="1" applyFont="1" applyBorder="1" applyAlignment="1" applyProtection="1">
      <alignment horizontal="center" vertical="center"/>
    </xf>
    <xf numFmtId="178" fontId="0" fillId="0" borderId="2" xfId="0" applyNumberFormat="1" applyFont="1" applyBorder="1" applyAlignment="1" applyProtection="1">
      <alignment horizontal="center" vertical="center"/>
    </xf>
    <xf numFmtId="176" fontId="16" fillId="0" borderId="2" xfId="0" quotePrefix="1" applyNumberFormat="1" applyFont="1" applyBorder="1" applyAlignment="1" applyProtection="1">
      <alignment horizontal="center" vertical="center"/>
    </xf>
    <xf numFmtId="0" fontId="17" fillId="0" borderId="2" xfId="0" applyFont="1" applyFill="1" applyBorder="1" applyAlignment="1" applyProtection="1">
      <alignment horizontal="center" vertical="center" wrapText="1"/>
    </xf>
    <xf numFmtId="178" fontId="16" fillId="0" borderId="11" xfId="0" applyNumberFormat="1" applyFont="1" applyBorder="1" applyAlignment="1" applyProtection="1">
      <alignment horizontal="center" vertical="center"/>
    </xf>
    <xf numFmtId="177" fontId="0" fillId="0" borderId="2" xfId="0" applyNumberFormat="1" applyFont="1" applyBorder="1" applyProtection="1">
      <protection locked="0"/>
    </xf>
    <xf numFmtId="177" fontId="16" fillId="0" borderId="2" xfId="0" applyNumberFormat="1" applyFont="1" applyBorder="1" applyProtection="1">
      <protection locked="0"/>
    </xf>
    <xf numFmtId="177" fontId="16" fillId="0" borderId="5" xfId="0" applyNumberFormat="1" applyFont="1" applyBorder="1" applyProtection="1">
      <protection locked="0"/>
    </xf>
    <xf numFmtId="177" fontId="2" fillId="0" borderId="2" xfId="0" applyNumberFormat="1" applyFont="1" applyFill="1" applyBorder="1" applyAlignment="1" applyProtection="1">
      <alignment horizontal="center"/>
      <protection locked="0"/>
    </xf>
    <xf numFmtId="177" fontId="15" fillId="0" borderId="2" xfId="0" applyNumberFormat="1" applyFont="1" applyFill="1" applyBorder="1" applyAlignment="1" applyProtection="1">
      <alignment horizontal="center"/>
      <protection locked="0"/>
    </xf>
    <xf numFmtId="177" fontId="15" fillId="0" borderId="4" xfId="0" applyNumberFormat="1" applyFont="1" applyFill="1" applyBorder="1" applyAlignment="1" applyProtection="1">
      <alignment horizontal="center"/>
      <protection locked="0"/>
    </xf>
    <xf numFmtId="176" fontId="0" fillId="0" borderId="2" xfId="0" applyNumberFormat="1" applyBorder="1" applyAlignment="1" applyProtection="1">
      <alignment horizontal="center" vertical="center"/>
    </xf>
    <xf numFmtId="178" fontId="0" fillId="0" borderId="10" xfId="0" applyNumberFormat="1" applyBorder="1" applyAlignment="1" applyProtection="1">
      <alignment horizontal="center" vertical="center"/>
    </xf>
    <xf numFmtId="0" fontId="0" fillId="6" borderId="2" xfId="0" applyFont="1" applyFill="1" applyBorder="1" applyAlignment="1" applyProtection="1">
      <alignment horizontal="center" vertical="center" wrapText="1"/>
    </xf>
    <xf numFmtId="176" fontId="4" fillId="7" borderId="2" xfId="0" applyNumberFormat="1" applyFont="1" applyFill="1" applyBorder="1" applyAlignment="1" applyProtection="1">
      <alignment horizontal="center" vertical="center" wrapText="1"/>
    </xf>
    <xf numFmtId="178" fontId="0" fillId="0" borderId="11" xfId="0" applyNumberFormat="1" applyBorder="1" applyAlignment="1" applyProtection="1">
      <alignment horizontal="center" vertical="center"/>
    </xf>
    <xf numFmtId="0" fontId="0" fillId="3" borderId="2" xfId="0" applyFont="1" applyFill="1" applyBorder="1" applyAlignment="1" applyProtection="1">
      <alignment horizontal="center" vertical="center" wrapText="1"/>
    </xf>
    <xf numFmtId="0" fontId="0" fillId="3" borderId="5" xfId="0" applyFont="1" applyFill="1" applyBorder="1" applyAlignment="1" applyProtection="1">
      <alignment horizontal="center" vertical="center" wrapText="1"/>
    </xf>
    <xf numFmtId="178" fontId="16" fillId="0" borderId="2" xfId="0" applyNumberFormat="1" applyFont="1" applyBorder="1" applyAlignment="1" applyProtection="1">
      <alignment horizontal="center" vertical="center"/>
    </xf>
    <xf numFmtId="178" fontId="16" fillId="0" borderId="10" xfId="0" applyNumberFormat="1" applyFont="1" applyBorder="1" applyAlignment="1" applyProtection="1">
      <alignment horizontal="center" vertical="center"/>
    </xf>
    <xf numFmtId="176" fontId="2" fillId="7" borderId="2" xfId="0" applyNumberFormat="1" applyFont="1" applyFill="1" applyBorder="1" applyAlignment="1" applyProtection="1">
      <alignment horizontal="center" vertical="center" wrapText="1"/>
    </xf>
    <xf numFmtId="0" fontId="18" fillId="0" borderId="12" xfId="0" applyFont="1" applyBorder="1" applyAlignment="1" applyProtection="1">
      <alignment horizontal="center" vertical="center"/>
      <protection locked="0"/>
    </xf>
    <xf numFmtId="0" fontId="19" fillId="0" borderId="0" xfId="0" applyFont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6" fillId="5" borderId="2" xfId="0" applyFont="1" applyFill="1" applyBorder="1" applyAlignment="1" applyProtection="1">
      <alignment horizontal="center" vertical="center" wrapText="1"/>
    </xf>
    <xf numFmtId="178" fontId="0" fillId="0" borderId="2" xfId="0" applyNumberFormat="1" applyFill="1" applyBorder="1" applyAlignment="1" applyProtection="1">
      <alignment horizontal="center" vertical="center"/>
    </xf>
    <xf numFmtId="178" fontId="0" fillId="0" borderId="10" xfId="0" applyNumberFormat="1" applyFill="1" applyBorder="1" applyAlignment="1" applyProtection="1">
      <alignment horizontal="center" vertical="center"/>
    </xf>
    <xf numFmtId="178" fontId="16" fillId="5" borderId="2" xfId="0" applyNumberFormat="1" applyFont="1" applyFill="1" applyBorder="1" applyAlignment="1" applyProtection="1">
      <alignment horizontal="center" vertical="center"/>
    </xf>
    <xf numFmtId="0" fontId="18" fillId="0" borderId="12" xfId="0" applyFont="1" applyBorder="1" applyAlignment="1" applyProtection="1">
      <alignment horizontal="left" vertical="center"/>
      <protection locked="0"/>
    </xf>
    <xf numFmtId="0" fontId="18" fillId="0" borderId="12" xfId="0" applyFont="1" applyBorder="1" applyAlignment="1" applyProtection="1">
      <alignment horizontal="right" vertical="center"/>
      <protection locked="0"/>
    </xf>
    <xf numFmtId="0" fontId="20" fillId="0" borderId="0" xfId="0" applyFont="1" applyAlignment="1" applyProtection="1">
      <alignment vertical="center"/>
      <protection locked="0"/>
    </xf>
    <xf numFmtId="0" fontId="21" fillId="0" borderId="2" xfId="0" applyFont="1" applyFill="1" applyBorder="1" applyAlignment="1" applyProtection="1">
      <alignment horizontal="center" vertical="center"/>
      <protection locked="0"/>
    </xf>
    <xf numFmtId="0" fontId="13" fillId="0" borderId="0" xfId="1" applyFont="1" applyFill="1" applyBorder="1" applyAlignment="1">
      <alignment horizontal="center" vertical="center" wrapText="1"/>
    </xf>
    <xf numFmtId="1" fontId="22" fillId="0" borderId="0" xfId="1" applyNumberFormat="1" applyFont="1" applyFill="1" applyBorder="1" applyAlignment="1">
      <alignment horizontal="center" vertical="center" shrinkToFit="1"/>
    </xf>
    <xf numFmtId="0" fontId="23" fillId="0" borderId="0" xfId="1" applyFont="1" applyFill="1" applyBorder="1" applyAlignment="1">
      <alignment horizontal="center" vertical="center"/>
    </xf>
    <xf numFmtId="0" fontId="21" fillId="8" borderId="2" xfId="0" applyFont="1" applyFill="1" applyBorder="1" applyAlignment="1" applyProtection="1">
      <alignment horizontal="center" vertical="center"/>
      <protection locked="0"/>
    </xf>
    <xf numFmtId="0" fontId="19" fillId="0" borderId="2" xfId="0" applyFont="1" applyFill="1" applyBorder="1" applyAlignment="1" applyProtection="1">
      <alignment horizontal="center" vertical="center"/>
      <protection locked="0"/>
    </xf>
    <xf numFmtId="41" fontId="19" fillId="0" borderId="13" xfId="0" applyNumberFormat="1" applyFont="1" applyFill="1" applyBorder="1" applyAlignment="1" applyProtection="1">
      <alignment vertical="center"/>
    </xf>
    <xf numFmtId="41" fontId="21" fillId="0" borderId="2" xfId="0" applyNumberFormat="1" applyFont="1" applyFill="1" applyBorder="1" applyAlignment="1" applyProtection="1">
      <alignment vertical="center"/>
    </xf>
    <xf numFmtId="177" fontId="25" fillId="0" borderId="14" xfId="0" applyNumberFormat="1" applyFont="1" applyBorder="1" applyAlignment="1" applyProtection="1">
      <alignment horizontal="center"/>
      <protection locked="0"/>
    </xf>
    <xf numFmtId="177" fontId="25" fillId="0" borderId="13" xfId="0" applyNumberFormat="1" applyFont="1" applyBorder="1" applyAlignment="1" applyProtection="1">
      <alignment horizontal="center"/>
      <protection locked="0"/>
    </xf>
    <xf numFmtId="177" fontId="25" fillId="2" borderId="13" xfId="0" applyNumberFormat="1" applyFont="1" applyFill="1" applyBorder="1" applyAlignment="1" applyProtection="1">
      <alignment horizontal="center"/>
      <protection locked="0"/>
    </xf>
    <xf numFmtId="177" fontId="25" fillId="3" borderId="13" xfId="0" applyNumberFormat="1" applyFont="1" applyFill="1" applyBorder="1" applyAlignment="1" applyProtection="1">
      <alignment horizontal="center"/>
      <protection locked="0"/>
    </xf>
    <xf numFmtId="177" fontId="25" fillId="0" borderId="15" xfId="0" applyNumberFormat="1" applyFont="1" applyBorder="1" applyAlignment="1" applyProtection="1">
      <alignment horizontal="center"/>
      <protection locked="0"/>
    </xf>
    <xf numFmtId="177" fontId="26" fillId="4" borderId="14" xfId="0" applyNumberFormat="1" applyFont="1" applyFill="1" applyBorder="1" applyProtection="1"/>
    <xf numFmtId="177" fontId="25" fillId="0" borderId="13" xfId="0" applyNumberFormat="1" applyFont="1" applyFill="1" applyBorder="1" applyAlignment="1" applyProtection="1">
      <alignment horizontal="center"/>
      <protection locked="0"/>
    </xf>
    <xf numFmtId="177" fontId="26" fillId="5" borderId="13" xfId="0" applyNumberFormat="1" applyFont="1" applyFill="1" applyBorder="1" applyProtection="1"/>
    <xf numFmtId="177" fontId="26" fillId="6" borderId="13" xfId="0" applyNumberFormat="1" applyFont="1" applyFill="1" applyBorder="1" applyProtection="1"/>
    <xf numFmtId="177" fontId="26" fillId="0" borderId="13" xfId="0" applyNumberFormat="1" applyFont="1" applyBorder="1" applyProtection="1">
      <protection locked="0"/>
    </xf>
    <xf numFmtId="177" fontId="26" fillId="7" borderId="13" xfId="0" applyNumberFormat="1" applyFont="1" applyFill="1" applyBorder="1" applyProtection="1"/>
    <xf numFmtId="177" fontId="26" fillId="7" borderId="15" xfId="0" applyNumberFormat="1" applyFont="1" applyFill="1" applyBorder="1" applyProtection="1"/>
    <xf numFmtId="177" fontId="25" fillId="0" borderId="1" xfId="0" applyNumberFormat="1" applyFont="1" applyBorder="1" applyAlignment="1" applyProtection="1">
      <alignment horizontal="center"/>
      <protection locked="0"/>
    </xf>
    <xf numFmtId="177" fontId="25" fillId="0" borderId="2" xfId="0" applyNumberFormat="1" applyFont="1" applyBorder="1" applyAlignment="1" applyProtection="1">
      <alignment horizontal="center"/>
      <protection locked="0"/>
    </xf>
    <xf numFmtId="177" fontId="25" fillId="2" borderId="2" xfId="0" applyNumberFormat="1" applyFont="1" applyFill="1" applyBorder="1" applyAlignment="1" applyProtection="1">
      <alignment horizontal="center"/>
      <protection locked="0"/>
    </xf>
    <xf numFmtId="177" fontId="25" fillId="3" borderId="2" xfId="0" applyNumberFormat="1" applyFont="1" applyFill="1" applyBorder="1" applyAlignment="1" applyProtection="1">
      <alignment horizontal="center"/>
      <protection locked="0"/>
    </xf>
    <xf numFmtId="177" fontId="25" fillId="0" borderId="3" xfId="0" applyNumberFormat="1" applyFont="1" applyBorder="1" applyAlignment="1" applyProtection="1">
      <alignment horizontal="center"/>
      <protection locked="0"/>
    </xf>
    <xf numFmtId="177" fontId="26" fillId="4" borderId="1" xfId="0" applyNumberFormat="1" applyFont="1" applyFill="1" applyBorder="1" applyProtection="1"/>
    <xf numFmtId="177" fontId="25" fillId="0" borderId="2" xfId="0" applyNumberFormat="1" applyFont="1" applyFill="1" applyBorder="1" applyAlignment="1" applyProtection="1">
      <alignment horizontal="center"/>
      <protection locked="0"/>
    </xf>
    <xf numFmtId="177" fontId="26" fillId="5" borderId="2" xfId="0" applyNumberFormat="1" applyFont="1" applyFill="1" applyBorder="1" applyProtection="1"/>
    <xf numFmtId="177" fontId="26" fillId="6" borderId="2" xfId="0" applyNumberFormat="1" applyFont="1" applyFill="1" applyBorder="1" applyProtection="1"/>
    <xf numFmtId="177" fontId="26" fillId="0" borderId="2" xfId="0" applyNumberFormat="1" applyFont="1" applyBorder="1" applyProtection="1">
      <protection locked="0"/>
    </xf>
    <xf numFmtId="177" fontId="26" fillId="7" borderId="2" xfId="0" applyNumberFormat="1" applyFont="1" applyFill="1" applyBorder="1" applyProtection="1"/>
    <xf numFmtId="177" fontId="26" fillId="7" borderId="3" xfId="0" applyNumberFormat="1" applyFont="1" applyFill="1" applyBorder="1" applyProtection="1"/>
    <xf numFmtId="177" fontId="27" fillId="0" borderId="1" xfId="0" applyNumberFormat="1" applyFont="1" applyBorder="1" applyAlignment="1" applyProtection="1">
      <alignment horizontal="center"/>
      <protection locked="0"/>
    </xf>
    <xf numFmtId="177" fontId="27" fillId="0" borderId="2" xfId="0" applyNumberFormat="1" applyFont="1" applyBorder="1" applyAlignment="1" applyProtection="1">
      <alignment horizontal="center"/>
      <protection locked="0"/>
    </xf>
    <xf numFmtId="177" fontId="27" fillId="2" borderId="2" xfId="0" applyNumberFormat="1" applyFont="1" applyFill="1" applyBorder="1" applyAlignment="1" applyProtection="1">
      <alignment horizontal="center"/>
      <protection locked="0"/>
    </xf>
    <xf numFmtId="177" fontId="27" fillId="3" borderId="2" xfId="0" applyNumberFormat="1" applyFont="1" applyFill="1" applyBorder="1" applyAlignment="1" applyProtection="1">
      <alignment horizontal="center"/>
      <protection locked="0"/>
    </xf>
    <xf numFmtId="177" fontId="27" fillId="0" borderId="3" xfId="0" applyNumberFormat="1" applyFont="1" applyBorder="1" applyAlignment="1" applyProtection="1">
      <alignment horizontal="center"/>
      <protection locked="0"/>
    </xf>
    <xf numFmtId="177" fontId="28" fillId="4" borderId="1" xfId="0" applyNumberFormat="1" applyFont="1" applyFill="1" applyBorder="1" applyProtection="1"/>
    <xf numFmtId="177" fontId="27" fillId="0" borderId="2" xfId="0" applyNumberFormat="1" applyFont="1" applyFill="1" applyBorder="1" applyAlignment="1" applyProtection="1">
      <alignment horizontal="center"/>
      <protection locked="0"/>
    </xf>
    <xf numFmtId="177" fontId="28" fillId="5" borderId="2" xfId="0" applyNumberFormat="1" applyFont="1" applyFill="1" applyBorder="1" applyProtection="1"/>
    <xf numFmtId="177" fontId="28" fillId="6" borderId="2" xfId="0" applyNumberFormat="1" applyFont="1" applyFill="1" applyBorder="1" applyProtection="1"/>
    <xf numFmtId="177" fontId="28" fillId="0" borderId="2" xfId="0" applyNumberFormat="1" applyFont="1" applyBorder="1" applyProtection="1">
      <protection locked="0"/>
    </xf>
    <xf numFmtId="177" fontId="28" fillId="7" borderId="2" xfId="0" applyNumberFormat="1" applyFont="1" applyFill="1" applyBorder="1" applyProtection="1"/>
    <xf numFmtId="177" fontId="28" fillId="7" borderId="3" xfId="0" applyNumberFormat="1" applyFont="1" applyFill="1" applyBorder="1" applyProtection="1"/>
    <xf numFmtId="178" fontId="0" fillId="5" borderId="2" xfId="0" applyNumberFormat="1" applyFont="1" applyFill="1" applyBorder="1" applyAlignment="1" applyProtection="1">
      <alignment horizontal="center" vertical="center"/>
    </xf>
    <xf numFmtId="176" fontId="28" fillId="0" borderId="2" xfId="0" quotePrefix="1" applyNumberFormat="1" applyFont="1" applyBorder="1" applyAlignment="1" applyProtection="1">
      <alignment horizontal="center" vertical="center"/>
    </xf>
    <xf numFmtId="0" fontId="29" fillId="0" borderId="2" xfId="0" applyFont="1" applyFill="1" applyBorder="1" applyAlignment="1" applyProtection="1">
      <alignment horizontal="center" vertical="center" wrapText="1"/>
    </xf>
    <xf numFmtId="178" fontId="28" fillId="0" borderId="2" xfId="0" applyNumberFormat="1" applyFont="1" applyBorder="1" applyAlignment="1" applyProtection="1">
      <alignment horizontal="center" vertical="center"/>
    </xf>
    <xf numFmtId="178" fontId="28" fillId="0" borderId="10" xfId="0" applyNumberFormat="1" applyFont="1" applyBorder="1" applyAlignment="1" applyProtection="1">
      <alignment horizontal="center" vertical="center"/>
    </xf>
    <xf numFmtId="178" fontId="28" fillId="5" borderId="2" xfId="0" applyNumberFormat="1" applyFont="1" applyFill="1" applyBorder="1" applyAlignment="1" applyProtection="1">
      <alignment horizontal="center" vertical="center"/>
    </xf>
    <xf numFmtId="178" fontId="28" fillId="0" borderId="11" xfId="0" applyNumberFormat="1" applyFont="1" applyBorder="1" applyAlignment="1" applyProtection="1">
      <alignment horizontal="center" vertical="center"/>
    </xf>
    <xf numFmtId="176" fontId="26" fillId="0" borderId="2" xfId="0" quotePrefix="1" applyNumberFormat="1" applyFont="1" applyBorder="1" applyAlignment="1" applyProtection="1">
      <alignment horizontal="center" vertical="center"/>
    </xf>
    <xf numFmtId="0" fontId="30" fillId="0" borderId="2" xfId="0" applyFont="1" applyFill="1" applyBorder="1" applyAlignment="1" applyProtection="1">
      <alignment horizontal="center" vertical="center" wrapText="1"/>
    </xf>
    <xf numFmtId="178" fontId="26" fillId="0" borderId="2" xfId="0" applyNumberFormat="1" applyFont="1" applyBorder="1" applyAlignment="1" applyProtection="1">
      <alignment horizontal="center" vertical="center"/>
    </xf>
    <xf numFmtId="178" fontId="26" fillId="0" borderId="10" xfId="0" applyNumberFormat="1" applyFont="1" applyBorder="1" applyAlignment="1" applyProtection="1">
      <alignment horizontal="center" vertical="center"/>
    </xf>
    <xf numFmtId="178" fontId="26" fillId="5" borderId="2" xfId="0" applyNumberFormat="1" applyFont="1" applyFill="1" applyBorder="1" applyAlignment="1" applyProtection="1">
      <alignment horizontal="center" vertical="center"/>
    </xf>
    <xf numFmtId="178" fontId="26" fillId="6" borderId="2" xfId="0" applyNumberFormat="1" applyFont="1" applyFill="1" applyBorder="1" applyAlignment="1" applyProtection="1">
      <alignment horizontal="center" vertical="center"/>
    </xf>
    <xf numFmtId="178" fontId="26" fillId="0" borderId="11" xfId="0" applyNumberFormat="1" applyFont="1" applyBorder="1" applyAlignment="1" applyProtection="1">
      <alignment horizontal="center" vertical="center"/>
    </xf>
    <xf numFmtId="177" fontId="0" fillId="6" borderId="13" xfId="0" applyNumberFormat="1" applyFill="1" applyBorder="1" applyAlignment="1" applyProtection="1">
      <alignment horizontal="center" vertical="center"/>
    </xf>
    <xf numFmtId="177" fontId="0" fillId="4" borderId="2" xfId="0" applyNumberFormat="1" applyFill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/>
    </xf>
    <xf numFmtId="0" fontId="10" fillId="4" borderId="16" xfId="0" applyFont="1" applyFill="1" applyBorder="1" applyAlignment="1" applyProtection="1">
      <alignment vertical="center" wrapText="1"/>
    </xf>
    <xf numFmtId="0" fontId="0" fillId="0" borderId="0" xfId="0" applyFill="1" applyProtection="1"/>
    <xf numFmtId="0" fontId="0" fillId="0" borderId="0" xfId="0" applyProtection="1"/>
    <xf numFmtId="0" fontId="3" fillId="2" borderId="2" xfId="0" applyFont="1" applyFill="1" applyBorder="1" applyAlignment="1" applyProtection="1">
      <alignment horizontal="center"/>
    </xf>
    <xf numFmtId="0" fontId="3" fillId="3" borderId="2" xfId="0" applyFont="1" applyFill="1" applyBorder="1" applyAlignment="1" applyProtection="1">
      <alignment horizontal="center"/>
    </xf>
    <xf numFmtId="0" fontId="0" fillId="4" borderId="17" xfId="0" applyFill="1" applyBorder="1" applyAlignment="1" applyProtection="1">
      <alignment horizontal="center"/>
    </xf>
    <xf numFmtId="0" fontId="3" fillId="5" borderId="10" xfId="0" applyFont="1" applyFill="1" applyBorder="1" applyAlignment="1" applyProtection="1">
      <alignment horizontal="center"/>
    </xf>
    <xf numFmtId="0" fontId="3" fillId="5" borderId="2" xfId="0" applyFont="1" applyFill="1" applyBorder="1" applyAlignment="1" applyProtection="1">
      <alignment horizontal="center"/>
    </xf>
    <xf numFmtId="0" fontId="0" fillId="6" borderId="17" xfId="0" applyFill="1" applyBorder="1" applyAlignment="1" applyProtection="1">
      <alignment horizontal="center"/>
    </xf>
    <xf numFmtId="0" fontId="3" fillId="6" borderId="2" xfId="0" applyFont="1" applyFill="1" applyBorder="1" applyAlignment="1" applyProtection="1">
      <alignment horizontal="center"/>
    </xf>
    <xf numFmtId="0" fontId="3" fillId="7" borderId="17" xfId="0" applyFont="1" applyFill="1" applyBorder="1" applyAlignment="1" applyProtection="1">
      <alignment horizontal="center"/>
    </xf>
    <xf numFmtId="0" fontId="3" fillId="7" borderId="2" xfId="0" applyFont="1" applyFill="1" applyBorder="1" applyAlignment="1" applyProtection="1">
      <alignment horizontal="center"/>
    </xf>
    <xf numFmtId="0" fontId="3" fillId="7" borderId="18" xfId="0" applyFont="1" applyFill="1" applyBorder="1" applyAlignment="1" applyProtection="1">
      <alignment horizontal="center"/>
    </xf>
    <xf numFmtId="0" fontId="3" fillId="2" borderId="2" xfId="0" quotePrefix="1" applyFont="1" applyFill="1" applyBorder="1" applyAlignment="1" applyProtection="1">
      <alignment horizontal="center"/>
    </xf>
    <xf numFmtId="0" fontId="3" fillId="9" borderId="2" xfId="0" applyFont="1" applyFill="1" applyBorder="1" applyAlignment="1" applyProtection="1">
      <alignment horizontal="center"/>
    </xf>
    <xf numFmtId="0" fontId="3" fillId="3" borderId="2" xfId="0" quotePrefix="1" applyFont="1" applyFill="1" applyBorder="1" applyAlignment="1" applyProtection="1">
      <alignment horizontal="center"/>
    </xf>
    <xf numFmtId="0" fontId="0" fillId="4" borderId="19" xfId="0" quotePrefix="1" applyFill="1" applyBorder="1" applyAlignment="1" applyProtection="1">
      <alignment horizontal="center"/>
    </xf>
    <xf numFmtId="0" fontId="3" fillId="10" borderId="0" xfId="0" applyFont="1" applyFill="1" applyBorder="1" applyAlignment="1" applyProtection="1">
      <alignment horizontal="center"/>
    </xf>
    <xf numFmtId="0" fontId="3" fillId="5" borderId="13" xfId="0" quotePrefix="1" applyFont="1" applyFill="1" applyBorder="1" applyAlignment="1" applyProtection="1">
      <alignment horizontal="center"/>
    </xf>
    <xf numFmtId="0" fontId="0" fillId="6" borderId="0" xfId="0" quotePrefix="1" applyFill="1" applyBorder="1" applyAlignment="1" applyProtection="1">
      <alignment horizontal="center"/>
    </xf>
    <xf numFmtId="0" fontId="3" fillId="6" borderId="13" xfId="0" quotePrefix="1" applyFont="1" applyFill="1" applyBorder="1" applyAlignment="1" applyProtection="1">
      <alignment horizontal="center"/>
    </xf>
    <xf numFmtId="0" fontId="3" fillId="7" borderId="13" xfId="0" quotePrefix="1" applyFont="1" applyFill="1" applyBorder="1" applyAlignment="1" applyProtection="1">
      <alignment horizontal="center"/>
    </xf>
    <xf numFmtId="0" fontId="3" fillId="10" borderId="13" xfId="0" applyFont="1" applyFill="1" applyBorder="1" applyAlignment="1" applyProtection="1">
      <alignment horizontal="center"/>
    </xf>
    <xf numFmtId="0" fontId="3" fillId="7" borderId="20" xfId="0" applyFont="1" applyFill="1" applyBorder="1" applyAlignment="1" applyProtection="1">
      <alignment horizontal="center"/>
    </xf>
    <xf numFmtId="0" fontId="0" fillId="0" borderId="0" xfId="0" quotePrefix="1" applyFill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0" fontId="2" fillId="0" borderId="10" xfId="0" applyFont="1" applyBorder="1" applyAlignment="1" applyProtection="1">
      <alignment horizontal="center" vertical="center"/>
    </xf>
    <xf numFmtId="176" fontId="2" fillId="2" borderId="21" xfId="0" applyNumberFormat="1" applyFont="1" applyFill="1" applyBorder="1" applyAlignment="1" applyProtection="1">
      <alignment horizontal="center" vertical="center" wrapText="1"/>
    </xf>
    <xf numFmtId="176" fontId="2" fillId="2" borderId="22" xfId="0" applyNumberFormat="1" applyFont="1" applyFill="1" applyBorder="1" applyAlignment="1" applyProtection="1">
      <alignment horizontal="center" vertical="center" wrapText="1"/>
    </xf>
    <xf numFmtId="176" fontId="2" fillId="3" borderId="22" xfId="0" applyNumberFormat="1" applyFont="1" applyFill="1" applyBorder="1" applyAlignment="1" applyProtection="1">
      <alignment horizontal="center" vertical="center" wrapText="1"/>
    </xf>
    <xf numFmtId="176" fontId="2" fillId="0" borderId="8" xfId="0" applyNumberFormat="1" applyFont="1" applyBorder="1" applyAlignment="1" applyProtection="1">
      <alignment horizontal="center" vertical="center" wrapText="1"/>
    </xf>
    <xf numFmtId="176" fontId="4" fillId="4" borderId="21" xfId="0" applyNumberFormat="1" applyFont="1" applyFill="1" applyBorder="1" applyAlignment="1" applyProtection="1">
      <alignment horizontal="center" vertical="center" wrapText="1"/>
    </xf>
    <xf numFmtId="176" fontId="2" fillId="5" borderId="23" xfId="0" applyNumberFormat="1" applyFont="1" applyFill="1" applyBorder="1" applyAlignment="1" applyProtection="1">
      <alignment horizontal="center" vertical="center" wrapText="1"/>
    </xf>
    <xf numFmtId="176" fontId="4" fillId="5" borderId="22" xfId="0" applyNumberFormat="1" applyFont="1" applyFill="1" applyBorder="1" applyAlignment="1" applyProtection="1">
      <alignment horizontal="center" vertical="center" wrapText="1"/>
    </xf>
    <xf numFmtId="176" fontId="2" fillId="6" borderId="22" xfId="0" applyNumberFormat="1" applyFont="1" applyFill="1" applyBorder="1" applyAlignment="1" applyProtection="1">
      <alignment horizontal="center" vertical="center" wrapText="1"/>
    </xf>
    <xf numFmtId="176" fontId="4" fillId="7" borderId="22" xfId="0" applyNumberFormat="1" applyFont="1" applyFill="1" applyBorder="1" applyAlignment="1" applyProtection="1">
      <alignment horizontal="center" vertical="center" wrapText="1"/>
    </xf>
    <xf numFmtId="176" fontId="2" fillId="7" borderId="22" xfId="0" applyNumberFormat="1" applyFont="1" applyFill="1" applyBorder="1" applyAlignment="1" applyProtection="1">
      <alignment horizontal="center" vertical="center" wrapText="1"/>
    </xf>
    <xf numFmtId="176" fontId="2" fillId="0" borderId="0" xfId="0" applyNumberFormat="1" applyFont="1" applyFill="1" applyBorder="1" applyAlignment="1" applyProtection="1">
      <alignment horizontal="center" vertical="center" wrapText="1"/>
    </xf>
    <xf numFmtId="0" fontId="25" fillId="0" borderId="2" xfId="0" applyFont="1" applyBorder="1" applyAlignment="1" applyProtection="1">
      <alignment horizontal="center"/>
    </xf>
    <xf numFmtId="0" fontId="25" fillId="0" borderId="2" xfId="0" applyFont="1" applyBorder="1" applyProtection="1"/>
    <xf numFmtId="0" fontId="25" fillId="0" borderId="10" xfId="0" applyFont="1" applyBorder="1" applyAlignment="1" applyProtection="1">
      <alignment horizontal="center"/>
    </xf>
    <xf numFmtId="178" fontId="0" fillId="0" borderId="0" xfId="0" applyNumberFormat="1" applyFill="1" applyProtection="1"/>
    <xf numFmtId="0" fontId="25" fillId="4" borderId="2" xfId="0" applyFont="1" applyFill="1" applyBorder="1" applyProtection="1"/>
    <xf numFmtId="0" fontId="27" fillId="0" borderId="2" xfId="0" applyFont="1" applyBorder="1" applyAlignment="1" applyProtection="1">
      <alignment horizontal="center"/>
    </xf>
    <xf numFmtId="0" fontId="27" fillId="0" borderId="2" xfId="0" applyFont="1" applyBorder="1" applyProtection="1"/>
    <xf numFmtId="0" fontId="27" fillId="0" borderId="10" xfId="0" applyFont="1" applyBorder="1" applyAlignment="1" applyProtection="1">
      <alignment horizontal="center"/>
    </xf>
    <xf numFmtId="0" fontId="27" fillId="4" borderId="2" xfId="0" applyFont="1" applyFill="1" applyBorder="1" applyProtection="1"/>
    <xf numFmtId="0" fontId="2" fillId="0" borderId="2" xfId="0" applyFont="1" applyBorder="1" applyAlignment="1" applyProtection="1">
      <alignment horizontal="center"/>
    </xf>
    <xf numFmtId="0" fontId="2" fillId="0" borderId="2" xfId="0" applyFont="1" applyBorder="1" applyProtection="1"/>
    <xf numFmtId="0" fontId="2" fillId="0" borderId="10" xfId="0" applyFont="1" applyBorder="1" applyAlignment="1" applyProtection="1">
      <alignment horizontal="center"/>
    </xf>
    <xf numFmtId="0" fontId="2" fillId="4" borderId="2" xfId="0" applyFont="1" applyFill="1" applyBorder="1" applyProtection="1"/>
    <xf numFmtId="0" fontId="15" fillId="0" borderId="2" xfId="0" applyFont="1" applyBorder="1" applyAlignment="1" applyProtection="1">
      <alignment horizontal="center"/>
    </xf>
    <xf numFmtId="0" fontId="15" fillId="0" borderId="2" xfId="0" applyFont="1" applyBorder="1" applyProtection="1"/>
    <xf numFmtId="0" fontId="15" fillId="0" borderId="10" xfId="0" applyFont="1" applyBorder="1" applyAlignment="1" applyProtection="1">
      <alignment horizontal="center"/>
    </xf>
    <xf numFmtId="176" fontId="2" fillId="0" borderId="21" xfId="0" applyNumberFormat="1" applyFont="1" applyBorder="1" applyAlignment="1" applyProtection="1">
      <alignment horizontal="center"/>
    </xf>
    <xf numFmtId="176" fontId="2" fillId="0" borderId="22" xfId="0" applyNumberFormat="1" applyFont="1" applyBorder="1" applyAlignment="1" applyProtection="1">
      <alignment horizontal="center"/>
    </xf>
    <xf numFmtId="176" fontId="2" fillId="0" borderId="24" xfId="0" applyNumberFormat="1" applyFont="1" applyBorder="1" applyAlignment="1" applyProtection="1">
      <alignment horizontal="center"/>
    </xf>
    <xf numFmtId="176" fontId="2" fillId="2" borderId="25" xfId="0" applyNumberFormat="1" applyFont="1" applyFill="1" applyBorder="1" applyAlignment="1" applyProtection="1">
      <alignment horizontal="center" vertical="center" wrapText="1"/>
    </xf>
    <xf numFmtId="177" fontId="2" fillId="2" borderId="26" xfId="0" applyNumberFormat="1" applyFont="1" applyFill="1" applyBorder="1" applyAlignment="1" applyProtection="1">
      <alignment horizontal="center" vertical="center"/>
    </xf>
    <xf numFmtId="176" fontId="2" fillId="0" borderId="27" xfId="0" applyNumberFormat="1" applyFont="1" applyBorder="1" applyAlignment="1" applyProtection="1">
      <alignment horizontal="center" vertical="center"/>
    </xf>
    <xf numFmtId="176" fontId="2" fillId="3" borderId="25" xfId="0" applyNumberFormat="1" applyFont="1" applyFill="1" applyBorder="1" applyAlignment="1" applyProtection="1">
      <alignment horizontal="center" vertical="center" wrapText="1"/>
    </xf>
    <xf numFmtId="177" fontId="2" fillId="3" borderId="26" xfId="0" applyNumberFormat="1" applyFont="1" applyFill="1" applyBorder="1" applyAlignment="1" applyProtection="1">
      <alignment horizontal="center" vertical="center"/>
    </xf>
    <xf numFmtId="177" fontId="2" fillId="0" borderId="28" xfId="0" applyNumberFormat="1" applyFont="1" applyBorder="1" applyAlignment="1" applyProtection="1">
      <alignment horizontal="center" vertical="center"/>
    </xf>
    <xf numFmtId="0" fontId="0" fillId="0" borderId="29" xfId="0" applyBorder="1" applyProtection="1"/>
    <xf numFmtId="0" fontId="0" fillId="0" borderId="0" xfId="0" applyAlignment="1" applyProtection="1">
      <alignment horizontal="center"/>
    </xf>
    <xf numFmtId="176" fontId="0" fillId="0" borderId="0" xfId="0" applyNumberFormat="1" applyAlignment="1" applyProtection="1">
      <alignment horizontal="center"/>
    </xf>
    <xf numFmtId="0" fontId="0" fillId="6" borderId="13" xfId="0" applyFill="1" applyBorder="1" applyAlignment="1" applyProtection="1">
      <alignment horizontal="center" vertical="center"/>
    </xf>
    <xf numFmtId="0" fontId="0" fillId="4" borderId="2" xfId="0" applyFill="1" applyBorder="1" applyAlignment="1" applyProtection="1">
      <alignment horizontal="center" vertical="center"/>
    </xf>
    <xf numFmtId="177" fontId="0" fillId="0" borderId="0" xfId="0" applyNumberFormat="1" applyProtection="1"/>
    <xf numFmtId="0" fontId="10" fillId="6" borderId="0" xfId="0" applyFont="1" applyFill="1" applyAlignment="1" applyProtection="1">
      <alignment horizontal="center" vertical="center" wrapText="1"/>
    </xf>
    <xf numFmtId="178" fontId="26" fillId="0" borderId="2" xfId="0" applyNumberFormat="1" applyFont="1" applyBorder="1" applyAlignment="1" applyProtection="1">
      <alignment horizontal="center"/>
    </xf>
    <xf numFmtId="178" fontId="28" fillId="0" borderId="2" xfId="0" applyNumberFormat="1" applyFont="1" applyBorder="1" applyAlignment="1" applyProtection="1">
      <alignment horizontal="center"/>
    </xf>
    <xf numFmtId="178" fontId="0" fillId="0" borderId="2" xfId="0" applyNumberFormat="1" applyFont="1" applyBorder="1" applyAlignment="1" applyProtection="1">
      <alignment horizontal="center"/>
    </xf>
    <xf numFmtId="178" fontId="16" fillId="0" borderId="2" xfId="0" applyNumberFormat="1" applyFont="1" applyBorder="1" applyAlignment="1" applyProtection="1">
      <alignment horizontal="center"/>
    </xf>
    <xf numFmtId="41" fontId="0" fillId="0" borderId="0" xfId="0" applyNumberFormat="1"/>
    <xf numFmtId="0" fontId="1" fillId="0" borderId="0" xfId="0" applyFont="1" applyAlignment="1">
      <alignment horizontal="center" wrapText="1"/>
    </xf>
    <xf numFmtId="0" fontId="0" fillId="0" borderId="0" xfId="0" applyFill="1"/>
    <xf numFmtId="0" fontId="23" fillId="6" borderId="0" xfId="1" applyFont="1" applyFill="1" applyBorder="1" applyAlignment="1">
      <alignment horizontal="center" vertical="center"/>
    </xf>
    <xf numFmtId="0" fontId="33" fillId="0" borderId="2" xfId="0" applyFont="1" applyFill="1" applyBorder="1" applyAlignment="1" applyProtection="1">
      <alignment horizontal="center" vertical="center" wrapText="1"/>
      <protection locked="0"/>
    </xf>
    <xf numFmtId="0" fontId="19" fillId="0" borderId="13" xfId="0" applyFont="1" applyFill="1" applyBorder="1" applyAlignment="1" applyProtection="1">
      <alignment horizontal="center" vertical="center" wrapText="1"/>
      <protection locked="0"/>
    </xf>
    <xf numFmtId="0" fontId="33" fillId="0" borderId="13" xfId="0" applyFont="1" applyFill="1" applyBorder="1" applyAlignment="1" applyProtection="1">
      <alignment horizontal="center" vertical="center" wrapText="1"/>
      <protection locked="0"/>
    </xf>
    <xf numFmtId="0" fontId="33" fillId="0" borderId="5" xfId="0" applyFont="1" applyFill="1" applyBorder="1" applyAlignment="1" applyProtection="1">
      <alignment horizontal="center" vertical="center" wrapText="1"/>
      <protection locked="0"/>
    </xf>
    <xf numFmtId="0" fontId="32" fillId="0" borderId="5" xfId="0" applyFont="1" applyFill="1" applyBorder="1" applyAlignment="1" applyProtection="1">
      <alignment horizontal="center" vertical="center" wrapText="1"/>
      <protection locked="0"/>
    </xf>
    <xf numFmtId="0" fontId="24" fillId="0" borderId="13" xfId="0" applyFont="1" applyFill="1" applyBorder="1" applyAlignment="1" applyProtection="1">
      <alignment vertical="center" wrapText="1"/>
      <protection locked="0"/>
    </xf>
    <xf numFmtId="0" fontId="21" fillId="0" borderId="5" xfId="0" applyFont="1" applyFill="1" applyBorder="1" applyAlignment="1" applyProtection="1">
      <alignment horizontal="center" vertical="center" wrapText="1"/>
      <protection locked="0"/>
    </xf>
    <xf numFmtId="176" fontId="0" fillId="2" borderId="0" xfId="0" applyNumberFormat="1" applyFill="1" applyAlignment="1" applyProtection="1">
      <alignment horizontal="center"/>
    </xf>
    <xf numFmtId="41" fontId="33" fillId="0" borderId="13" xfId="0" applyNumberFormat="1" applyFont="1" applyFill="1" applyBorder="1" applyAlignment="1" applyProtection="1">
      <alignment vertical="center"/>
    </xf>
    <xf numFmtId="41" fontId="33" fillId="0" borderId="2" xfId="0" applyNumberFormat="1" applyFont="1" applyFill="1" applyBorder="1" applyAlignment="1" applyProtection="1">
      <alignment vertical="center"/>
    </xf>
    <xf numFmtId="0" fontId="47" fillId="0" borderId="0" xfId="3" applyProtection="1">
      <protection locked="0"/>
    </xf>
    <xf numFmtId="41" fontId="9" fillId="6" borderId="5" xfId="3" applyNumberFormat="1" applyFont="1" applyFill="1" applyBorder="1" applyAlignment="1" applyProtection="1">
      <alignment horizontal="center" wrapText="1"/>
      <protection locked="0" hidden="1"/>
    </xf>
    <xf numFmtId="179" fontId="11" fillId="6" borderId="2" xfId="5" applyNumberFormat="1" applyFont="1" applyFill="1" applyBorder="1" applyAlignment="1" applyProtection="1">
      <alignment horizontal="center" vertical="center"/>
      <protection locked="0"/>
    </xf>
    <xf numFmtId="179" fontId="50" fillId="6" borderId="10" xfId="5" applyNumberFormat="1" applyFont="1" applyFill="1" applyBorder="1" applyAlignment="1" applyProtection="1">
      <alignment horizontal="center" vertical="center" wrapText="1"/>
      <protection locked="0"/>
    </xf>
    <xf numFmtId="0" fontId="11" fillId="6" borderId="13" xfId="3" applyFont="1" applyFill="1" applyBorder="1" applyAlignment="1" applyProtection="1">
      <alignment horizontal="center" vertical="top" wrapText="1"/>
      <protection locked="0"/>
    </xf>
    <xf numFmtId="0" fontId="11" fillId="6" borderId="2" xfId="3" applyFont="1" applyFill="1" applyBorder="1" applyAlignment="1" applyProtection="1">
      <alignment horizontal="center" vertical="center"/>
      <protection locked="0"/>
    </xf>
    <xf numFmtId="0" fontId="11" fillId="6" borderId="2" xfId="3" applyFont="1" applyFill="1" applyBorder="1" applyAlignment="1" applyProtection="1">
      <alignment horizontal="center" vertical="center" wrapText="1"/>
      <protection locked="0"/>
    </xf>
    <xf numFmtId="0" fontId="52" fillId="6" borderId="58" xfId="3" applyNumberFormat="1" applyFont="1" applyFill="1" applyBorder="1" applyAlignment="1" applyProtection="1">
      <alignment horizontal="center" vertical="center"/>
      <protection locked="0"/>
    </xf>
    <xf numFmtId="178" fontId="54" fillId="8" borderId="59" xfId="3" applyNumberFormat="1" applyFont="1" applyFill="1" applyBorder="1" applyAlignment="1" applyProtection="1">
      <alignment horizontal="center" vertical="center"/>
      <protection locked="0"/>
    </xf>
    <xf numFmtId="178" fontId="52" fillId="6" borderId="60" xfId="3" applyNumberFormat="1" applyFont="1" applyFill="1" applyBorder="1" applyAlignment="1" applyProtection="1">
      <alignment vertical="center"/>
    </xf>
    <xf numFmtId="178" fontId="52" fillId="6" borderId="59" xfId="3" applyNumberFormat="1" applyFont="1" applyFill="1" applyBorder="1" applyAlignment="1" applyProtection="1">
      <alignment vertical="center"/>
    </xf>
    <xf numFmtId="180" fontId="52" fillId="6" borderId="59" xfId="3" applyNumberFormat="1" applyFont="1" applyFill="1" applyBorder="1" applyAlignment="1" applyProtection="1">
      <alignment horizontal="center" vertical="center"/>
    </xf>
    <xf numFmtId="177" fontId="52" fillId="0" borderId="59" xfId="3" applyNumberFormat="1" applyFont="1" applyFill="1" applyBorder="1" applyAlignment="1" applyProtection="1">
      <alignment horizontal="center" vertical="center"/>
    </xf>
    <xf numFmtId="177" fontId="52" fillId="6" borderId="59" xfId="3" applyNumberFormat="1" applyFont="1" applyFill="1" applyBorder="1" applyAlignment="1" applyProtection="1">
      <alignment horizontal="center" vertical="center"/>
    </xf>
    <xf numFmtId="177" fontId="52" fillId="6" borderId="61" xfId="3" applyNumberFormat="1" applyFont="1" applyFill="1" applyBorder="1" applyAlignment="1" applyProtection="1">
      <alignment horizontal="right" vertical="center"/>
    </xf>
    <xf numFmtId="180" fontId="38" fillId="0" borderId="0" xfId="4" applyNumberFormat="1" applyFont="1" applyFill="1" applyAlignment="1" applyProtection="1">
      <alignment horizontal="center" vertical="center"/>
      <protection locked="0"/>
    </xf>
    <xf numFmtId="179" fontId="38" fillId="0" borderId="0" xfId="5" applyNumberFormat="1" applyFont="1" applyFill="1" applyAlignment="1" applyProtection="1">
      <alignment horizontal="right" vertical="center"/>
      <protection locked="0"/>
    </xf>
    <xf numFmtId="0" fontId="11" fillId="0" borderId="0" xfId="3" applyFont="1" applyProtection="1">
      <protection locked="0"/>
    </xf>
    <xf numFmtId="0" fontId="47" fillId="0" borderId="0" xfId="3" applyFill="1" applyProtection="1">
      <protection locked="0"/>
    </xf>
    <xf numFmtId="0" fontId="60" fillId="0" borderId="0" xfId="3" applyFont="1" applyFill="1" applyProtection="1">
      <protection locked="0"/>
    </xf>
    <xf numFmtId="0" fontId="59" fillId="12" borderId="5" xfId="3" applyFont="1" applyFill="1" applyBorder="1" applyAlignment="1" applyProtection="1">
      <alignment horizontal="center" vertical="center" wrapText="1"/>
      <protection locked="0"/>
    </xf>
    <xf numFmtId="0" fontId="53" fillId="12" borderId="5" xfId="3" applyFont="1" applyFill="1" applyBorder="1" applyAlignment="1" applyProtection="1">
      <alignment horizontal="center" vertical="center" wrapText="1"/>
      <protection locked="0"/>
    </xf>
    <xf numFmtId="0" fontId="61" fillId="0" borderId="2" xfId="3" applyFont="1" applyBorder="1" applyAlignment="1" applyProtection="1">
      <alignment horizontal="center" vertical="center" wrapText="1"/>
      <protection locked="0"/>
    </xf>
    <xf numFmtId="0" fontId="0" fillId="0" borderId="2" xfId="3" applyFont="1" applyBorder="1" applyAlignment="1" applyProtection="1">
      <alignment horizontal="center" vertical="center" wrapText="1"/>
      <protection locked="0"/>
    </xf>
    <xf numFmtId="0" fontId="62" fillId="0" borderId="2" xfId="3" applyFont="1" applyBorder="1" applyAlignment="1" applyProtection="1">
      <alignment horizontal="center" vertical="center" wrapText="1"/>
      <protection locked="0"/>
    </xf>
    <xf numFmtId="0" fontId="38" fillId="0" borderId="2" xfId="3" applyFont="1" applyBorder="1" applyAlignment="1" applyProtection="1">
      <alignment horizontal="center" vertical="center" wrapText="1"/>
      <protection locked="0"/>
    </xf>
    <xf numFmtId="0" fontId="38" fillId="0" borderId="2" xfId="3" applyFont="1" applyBorder="1" applyAlignment="1" applyProtection="1">
      <alignment vertical="center" wrapText="1"/>
      <protection locked="0"/>
    </xf>
    <xf numFmtId="0" fontId="38" fillId="0" borderId="2" xfId="3" applyFont="1" applyBorder="1" applyAlignment="1" applyProtection="1">
      <alignment horizontal="right" vertical="center" wrapText="1"/>
      <protection locked="0"/>
    </xf>
    <xf numFmtId="0" fontId="46" fillId="0" borderId="0" xfId="3" applyFont="1" applyProtection="1">
      <protection locked="0"/>
    </xf>
    <xf numFmtId="0" fontId="38" fillId="0" borderId="2" xfId="3" applyFont="1" applyBorder="1" applyAlignment="1" applyProtection="1">
      <alignment horizontal="center"/>
      <protection locked="0"/>
    </xf>
    <xf numFmtId="0" fontId="38" fillId="0" borderId="2" xfId="3" applyFont="1" applyBorder="1" applyProtection="1">
      <protection locked="0"/>
    </xf>
    <xf numFmtId="0" fontId="38" fillId="0" borderId="0" xfId="3" applyFont="1" applyProtection="1">
      <protection locked="0"/>
    </xf>
    <xf numFmtId="0" fontId="53" fillId="12" borderId="2" xfId="3" applyFont="1" applyFill="1" applyBorder="1" applyAlignment="1" applyProtection="1">
      <alignment horizontal="center" vertical="center" wrapText="1"/>
    </xf>
    <xf numFmtId="0" fontId="12" fillId="0" borderId="0" xfId="3" applyFont="1" applyFill="1" applyAlignment="1" applyProtection="1">
      <alignment horizontal="left" vertical="center"/>
      <protection locked="0"/>
    </xf>
    <xf numFmtId="0" fontId="12" fillId="0" borderId="0" xfId="3" applyFont="1" applyAlignment="1" applyProtection="1">
      <alignment horizontal="left"/>
      <protection locked="0"/>
    </xf>
    <xf numFmtId="0" fontId="56" fillId="0" borderId="0" xfId="3" applyFont="1" applyProtection="1">
      <protection locked="0"/>
    </xf>
    <xf numFmtId="0" fontId="63" fillId="0" borderId="0" xfId="3" applyFont="1" applyProtection="1">
      <protection locked="0"/>
    </xf>
    <xf numFmtId="0" fontId="65" fillId="0" borderId="0" xfId="6" applyFill="1" applyBorder="1" applyAlignment="1">
      <alignment horizontal="left" vertical="top"/>
    </xf>
    <xf numFmtId="0" fontId="11" fillId="0" borderId="38" xfId="6" applyFont="1" applyFill="1" applyBorder="1" applyAlignment="1">
      <alignment horizontal="center" vertical="center" wrapText="1"/>
    </xf>
    <xf numFmtId="1" fontId="66" fillId="0" borderId="38" xfId="6" applyNumberFormat="1" applyFont="1" applyFill="1" applyBorder="1" applyAlignment="1">
      <alignment horizontal="center" vertical="center" shrinkToFit="1"/>
    </xf>
    <xf numFmtId="1" fontId="66" fillId="0" borderId="40" xfId="6" applyNumberFormat="1" applyFont="1" applyFill="1" applyBorder="1" applyAlignment="1">
      <alignment horizontal="center" vertical="center" shrinkToFit="1"/>
    </xf>
    <xf numFmtId="0" fontId="11" fillId="0" borderId="40" xfId="6" applyFont="1" applyFill="1" applyBorder="1" applyAlignment="1">
      <alignment horizontal="center" vertical="center" wrapText="1"/>
    </xf>
    <xf numFmtId="0" fontId="52" fillId="0" borderId="38" xfId="6" applyFont="1" applyFill="1" applyBorder="1" applyAlignment="1">
      <alignment horizontal="center" vertical="center" wrapText="1"/>
    </xf>
    <xf numFmtId="0" fontId="52" fillId="0" borderId="40" xfId="6" applyFont="1" applyFill="1" applyBorder="1" applyAlignment="1">
      <alignment horizontal="center" vertical="center" wrapText="1"/>
    </xf>
    <xf numFmtId="0" fontId="50" fillId="0" borderId="37" xfId="6" applyFont="1" applyFill="1" applyBorder="1" applyAlignment="1">
      <alignment horizontal="center" vertical="center" wrapText="1"/>
    </xf>
    <xf numFmtId="0" fontId="50" fillId="0" borderId="38" xfId="6" applyFont="1" applyFill="1" applyBorder="1" applyAlignment="1">
      <alignment horizontal="center" vertical="center" wrapText="1"/>
    </xf>
    <xf numFmtId="0" fontId="67" fillId="0" borderId="38" xfId="6" applyFont="1" applyFill="1" applyBorder="1" applyAlignment="1">
      <alignment horizontal="center" vertical="center" wrapText="1"/>
    </xf>
    <xf numFmtId="0" fontId="11" fillId="4" borderId="2" xfId="1" applyFont="1" applyFill="1" applyBorder="1" applyAlignment="1">
      <alignment horizontal="center" vertical="center" wrapText="1"/>
    </xf>
    <xf numFmtId="0" fontId="11" fillId="0" borderId="2" xfId="1" applyFont="1" applyFill="1" applyBorder="1" applyAlignment="1">
      <alignment horizontal="center" vertical="center" wrapText="1"/>
    </xf>
    <xf numFmtId="1" fontId="66" fillId="4" borderId="2" xfId="1" applyNumberFormat="1" applyFont="1" applyFill="1" applyBorder="1" applyAlignment="1">
      <alignment horizontal="center" vertical="center" shrinkToFit="1"/>
    </xf>
    <xf numFmtId="1" fontId="66" fillId="0" borderId="2" xfId="1" applyNumberFormat="1" applyFont="1" applyFill="1" applyBorder="1" applyAlignment="1">
      <alignment horizontal="center" vertical="center" shrinkToFit="1"/>
    </xf>
    <xf numFmtId="0" fontId="50" fillId="4" borderId="2" xfId="1" applyFont="1" applyFill="1" applyBorder="1" applyAlignment="1">
      <alignment horizontal="center" vertical="center" wrapText="1"/>
    </xf>
    <xf numFmtId="1" fontId="67" fillId="4" borderId="2" xfId="1" applyNumberFormat="1" applyFont="1" applyFill="1" applyBorder="1" applyAlignment="1">
      <alignment horizontal="center" vertical="center" wrapText="1" shrinkToFit="1"/>
    </xf>
    <xf numFmtId="0" fontId="53" fillId="0" borderId="2" xfId="1" applyFont="1" applyFill="1" applyBorder="1" applyAlignment="1">
      <alignment horizontal="center" vertical="center" wrapText="1"/>
    </xf>
    <xf numFmtId="0" fontId="50" fillId="4" borderId="39" xfId="1" applyFont="1" applyFill="1" applyBorder="1" applyAlignment="1">
      <alignment horizontal="center" vertical="center" wrapText="1"/>
    </xf>
    <xf numFmtId="1" fontId="67" fillId="0" borderId="2" xfId="1" applyNumberFormat="1" applyFont="1" applyFill="1" applyBorder="1" applyAlignment="1">
      <alignment horizontal="center" vertical="center" wrapText="1" shrinkToFit="1"/>
    </xf>
    <xf numFmtId="1" fontId="69" fillId="0" borderId="2" xfId="1" applyNumberFormat="1" applyFont="1" applyFill="1" applyBorder="1" applyAlignment="1">
      <alignment horizontal="center" vertical="center" wrapText="1" shrinkToFit="1"/>
    </xf>
    <xf numFmtId="0" fontId="69" fillId="0" borderId="2" xfId="1" applyFont="1" applyFill="1" applyBorder="1" applyAlignment="1">
      <alignment horizontal="center" vertical="center" wrapText="1"/>
    </xf>
    <xf numFmtId="0" fontId="50" fillId="0" borderId="2" xfId="1" applyFont="1" applyFill="1" applyBorder="1" applyAlignment="1">
      <alignment horizontal="center" vertical="center" wrapText="1"/>
    </xf>
    <xf numFmtId="0" fontId="38" fillId="0" borderId="2" xfId="0" applyFont="1" applyBorder="1" applyAlignment="1">
      <alignment horizontal="center" vertical="center"/>
    </xf>
    <xf numFmtId="1" fontId="66" fillId="0" borderId="10" xfId="1" applyNumberFormat="1" applyFont="1" applyFill="1" applyBorder="1" applyAlignment="1">
      <alignment vertical="center" shrinkToFit="1"/>
    </xf>
    <xf numFmtId="0" fontId="11" fillId="0" borderId="10" xfId="1" applyFont="1" applyFill="1" applyBorder="1" applyAlignment="1">
      <alignment vertical="center" wrapText="1"/>
    </xf>
    <xf numFmtId="0" fontId="11" fillId="0" borderId="11" xfId="1" applyFont="1" applyFill="1" applyBorder="1" applyAlignment="1">
      <alignment vertical="center" wrapText="1"/>
    </xf>
    <xf numFmtId="1" fontId="66" fillId="0" borderId="10" xfId="1" applyNumberFormat="1" applyFont="1" applyFill="1" applyBorder="1" applyAlignment="1">
      <alignment horizontal="center" vertical="center" shrinkToFit="1"/>
    </xf>
    <xf numFmtId="0" fontId="11" fillId="0" borderId="10" xfId="1" applyFont="1" applyFill="1" applyBorder="1" applyAlignment="1">
      <alignment horizontal="center" vertical="center" wrapText="1"/>
    </xf>
    <xf numFmtId="0" fontId="11" fillId="0" borderId="11" xfId="1" applyFont="1" applyFill="1" applyBorder="1" applyAlignment="1">
      <alignment horizontal="center" vertical="center" wrapText="1"/>
    </xf>
    <xf numFmtId="0" fontId="47" fillId="0" borderId="2" xfId="0" applyFont="1" applyBorder="1" applyAlignment="1">
      <alignment horizontal="center"/>
    </xf>
    <xf numFmtId="1" fontId="66" fillId="0" borderId="11" xfId="1" applyNumberFormat="1" applyFont="1" applyFill="1" applyBorder="1" applyAlignment="1">
      <alignment horizontal="center" vertical="center" shrinkToFit="1"/>
    </xf>
    <xf numFmtId="0" fontId="11" fillId="0" borderId="38" xfId="1" applyFont="1" applyFill="1" applyBorder="1" applyAlignment="1">
      <alignment horizontal="center" vertical="center" wrapText="1"/>
    </xf>
    <xf numFmtId="0" fontId="11" fillId="4" borderId="38" xfId="1" applyFont="1" applyFill="1" applyBorder="1" applyAlignment="1">
      <alignment horizontal="center" vertical="center" wrapText="1"/>
    </xf>
    <xf numFmtId="0" fontId="11" fillId="0" borderId="41" xfId="1" applyFont="1" applyFill="1" applyBorder="1" applyAlignment="1">
      <alignment horizontal="center" vertical="center" wrapText="1"/>
    </xf>
    <xf numFmtId="0" fontId="71" fillId="0" borderId="38" xfId="1" applyFont="1" applyFill="1" applyBorder="1" applyAlignment="1">
      <alignment horizontal="center" vertical="center" wrapText="1"/>
    </xf>
    <xf numFmtId="1" fontId="66" fillId="4" borderId="38" xfId="1" applyNumberFormat="1" applyFont="1" applyFill="1" applyBorder="1" applyAlignment="1">
      <alignment horizontal="center" vertical="center" shrinkToFit="1"/>
    </xf>
    <xf numFmtId="1" fontId="66" fillId="0" borderId="38" xfId="1" applyNumberFormat="1" applyFont="1" applyFill="1" applyBorder="1" applyAlignment="1">
      <alignment horizontal="center" vertical="center" shrinkToFit="1"/>
    </xf>
    <xf numFmtId="1" fontId="66" fillId="0" borderId="41" xfId="1" applyNumberFormat="1" applyFont="1" applyFill="1" applyBorder="1" applyAlignment="1">
      <alignment horizontal="center" vertical="center" shrinkToFit="1"/>
    </xf>
    <xf numFmtId="0" fontId="72" fillId="0" borderId="37" xfId="1" applyFont="1" applyFill="1" applyBorder="1" applyAlignment="1">
      <alignment horizontal="center" vertical="center" wrapText="1"/>
    </xf>
    <xf numFmtId="0" fontId="72" fillId="0" borderId="39" xfId="1" applyFont="1" applyFill="1" applyBorder="1" applyAlignment="1">
      <alignment horizontal="center" vertical="center" wrapText="1"/>
    </xf>
    <xf numFmtId="1" fontId="66" fillId="4" borderId="40" xfId="1" applyNumberFormat="1" applyFont="1" applyFill="1" applyBorder="1" applyAlignment="1">
      <alignment horizontal="center" vertical="center" shrinkToFit="1"/>
    </xf>
    <xf numFmtId="0" fontId="72" fillId="0" borderId="2" xfId="1" applyFont="1" applyFill="1" applyBorder="1" applyAlignment="1">
      <alignment horizontal="center" vertical="center" wrapText="1"/>
    </xf>
    <xf numFmtId="0" fontId="11" fillId="4" borderId="39" xfId="1" applyFont="1" applyFill="1" applyBorder="1" applyAlignment="1">
      <alignment horizontal="center" vertical="center" wrapText="1"/>
    </xf>
    <xf numFmtId="0" fontId="11" fillId="0" borderId="39" xfId="1" applyFont="1" applyFill="1" applyBorder="1" applyAlignment="1">
      <alignment horizontal="center" vertical="center" wrapText="1"/>
    </xf>
    <xf numFmtId="0" fontId="21" fillId="0" borderId="2" xfId="0" applyFont="1" applyFill="1" applyBorder="1" applyAlignment="1" applyProtection="1">
      <alignment horizontal="center" vertical="center"/>
    </xf>
    <xf numFmtId="0" fontId="36" fillId="0" borderId="0" xfId="0" applyFont="1" applyBorder="1" applyAlignment="1" applyProtection="1">
      <alignment horizontal="left" vertical="center"/>
    </xf>
    <xf numFmtId="0" fontId="19" fillId="0" borderId="44" xfId="0" applyFont="1" applyFill="1" applyBorder="1" applyAlignment="1" applyProtection="1">
      <alignment horizontal="center" vertical="center"/>
    </xf>
    <xf numFmtId="0" fontId="24" fillId="0" borderId="44" xfId="0" applyFont="1" applyFill="1" applyBorder="1" applyAlignment="1" applyProtection="1">
      <alignment horizontal="center" vertical="center" wrapText="1"/>
    </xf>
    <xf numFmtId="0" fontId="0" fillId="0" borderId="47" xfId="0" applyBorder="1" applyProtection="1"/>
    <xf numFmtId="0" fontId="0" fillId="0" borderId="48" xfId="0" applyBorder="1" applyProtection="1"/>
    <xf numFmtId="0" fontId="11" fillId="0" borderId="22" xfId="0" applyFont="1" applyBorder="1" applyAlignment="1" applyProtection="1">
      <alignment horizontal="center" vertical="center"/>
    </xf>
    <xf numFmtId="179" fontId="11" fillId="0" borderId="22" xfId="2" applyNumberFormat="1" applyFont="1" applyFill="1" applyBorder="1" applyAlignment="1" applyProtection="1">
      <alignment horizontal="center" vertical="center"/>
    </xf>
    <xf numFmtId="0" fontId="36" fillId="0" borderId="0" xfId="0" applyFont="1" applyBorder="1" applyAlignment="1" applyProtection="1">
      <alignment wrapText="1"/>
    </xf>
    <xf numFmtId="0" fontId="11" fillId="0" borderId="1" xfId="0" applyFont="1" applyBorder="1" applyAlignment="1" applyProtection="1">
      <alignment horizontal="center" vertical="center"/>
    </xf>
    <xf numFmtId="0" fontId="11" fillId="0" borderId="47" xfId="0" applyFont="1" applyBorder="1" applyProtection="1"/>
    <xf numFmtId="0" fontId="11" fillId="0" borderId="48" xfId="0" applyFont="1" applyBorder="1" applyProtection="1"/>
    <xf numFmtId="0" fontId="74" fillId="0" borderId="19" xfId="0" applyFont="1" applyBorder="1" applyAlignment="1" applyProtection="1">
      <alignment horizontal="center" vertical="center"/>
    </xf>
    <xf numFmtId="0" fontId="75" fillId="0" borderId="34" xfId="0" applyFont="1" applyBorder="1" applyAlignment="1" applyProtection="1">
      <alignment horizontal="center" vertical="center"/>
    </xf>
    <xf numFmtId="0" fontId="75" fillId="0" borderId="35" xfId="0" applyFont="1" applyBorder="1" applyAlignment="1" applyProtection="1">
      <alignment horizontal="center" vertical="center"/>
    </xf>
    <xf numFmtId="0" fontId="76" fillId="0" borderId="10" xfId="0" applyFont="1" applyBorder="1" applyAlignment="1" applyProtection="1">
      <alignment horizontal="center" vertical="center"/>
    </xf>
    <xf numFmtId="0" fontId="77" fillId="0" borderId="10" xfId="0" applyFont="1" applyBorder="1" applyAlignment="1" applyProtection="1">
      <alignment horizontal="center"/>
    </xf>
    <xf numFmtId="0" fontId="77" fillId="4" borderId="10" xfId="0" applyFont="1" applyFill="1" applyBorder="1" applyAlignment="1" applyProtection="1">
      <alignment horizontal="center"/>
    </xf>
    <xf numFmtId="0" fontId="78" fillId="0" borderId="10" xfId="0" applyFont="1" applyBorder="1" applyAlignment="1" applyProtection="1">
      <alignment horizontal="center"/>
    </xf>
    <xf numFmtId="0" fontId="78" fillId="4" borderId="10" xfId="0" applyFont="1" applyFill="1" applyBorder="1" applyAlignment="1" applyProtection="1">
      <alignment horizontal="center"/>
    </xf>
    <xf numFmtId="0" fontId="76" fillId="0" borderId="10" xfId="0" applyFont="1" applyBorder="1" applyAlignment="1" applyProtection="1">
      <alignment horizontal="center"/>
    </xf>
    <xf numFmtId="0" fontId="76" fillId="4" borderId="10" xfId="0" applyFont="1" applyFill="1" applyBorder="1" applyAlignment="1" applyProtection="1">
      <alignment horizontal="center"/>
    </xf>
    <xf numFmtId="0" fontId="79" fillId="0" borderId="10" xfId="0" applyFont="1" applyBorder="1" applyAlignment="1" applyProtection="1">
      <alignment horizontal="center"/>
    </xf>
    <xf numFmtId="0" fontId="80" fillId="0" borderId="0" xfId="0" applyFont="1" applyAlignment="1" applyProtection="1">
      <alignment horizontal="center"/>
    </xf>
    <xf numFmtId="0" fontId="34" fillId="0" borderId="12" xfId="0" applyFont="1" applyBorder="1" applyAlignment="1" applyProtection="1">
      <alignment horizontal="center" vertical="center"/>
      <protection locked="0"/>
    </xf>
    <xf numFmtId="178" fontId="11" fillId="0" borderId="2" xfId="0" applyNumberFormat="1" applyFont="1" applyBorder="1" applyAlignment="1" applyProtection="1">
      <alignment horizontal="center" vertical="center"/>
    </xf>
    <xf numFmtId="178" fontId="11" fillId="0" borderId="3" xfId="0" applyNumberFormat="1" applyFont="1" applyBorder="1" applyAlignment="1" applyProtection="1">
      <alignment horizontal="center" vertical="center"/>
    </xf>
    <xf numFmtId="178" fontId="11" fillId="0" borderId="22" xfId="0" applyNumberFormat="1" applyFont="1" applyBorder="1" applyAlignment="1" applyProtection="1">
      <alignment horizontal="center" vertical="center"/>
    </xf>
    <xf numFmtId="178" fontId="11" fillId="0" borderId="8" xfId="0" applyNumberFormat="1" applyFont="1" applyBorder="1" applyAlignment="1" applyProtection="1">
      <alignment horizontal="center" vertical="center"/>
    </xf>
    <xf numFmtId="0" fontId="11" fillId="0" borderId="1" xfId="0" applyFont="1" applyFill="1" applyBorder="1" applyAlignment="1" applyProtection="1">
      <alignment horizontal="center" vertical="center"/>
    </xf>
    <xf numFmtId="0" fontId="11" fillId="0" borderId="2" xfId="0" applyFont="1" applyFill="1" applyBorder="1" applyAlignment="1" applyProtection="1">
      <alignment horizontal="center" vertical="center"/>
    </xf>
    <xf numFmtId="0" fontId="11" fillId="0" borderId="1" xfId="0" applyFont="1" applyBorder="1" applyAlignment="1" applyProtection="1">
      <alignment horizontal="center" vertical="center"/>
    </xf>
    <xf numFmtId="0" fontId="11" fillId="0" borderId="2" xfId="0" applyFont="1" applyBorder="1" applyAlignment="1" applyProtection="1">
      <alignment horizontal="center" vertical="center"/>
    </xf>
    <xf numFmtId="0" fontId="19" fillId="0" borderId="46" xfId="0" applyFont="1" applyFill="1" applyBorder="1" applyAlignment="1" applyProtection="1">
      <alignment vertical="center"/>
    </xf>
    <xf numFmtId="0" fontId="19" fillId="0" borderId="14" xfId="0" applyFont="1" applyFill="1" applyBorder="1" applyAlignment="1" applyProtection="1">
      <alignment vertical="center"/>
    </xf>
    <xf numFmtId="41" fontId="21" fillId="0" borderId="10" xfId="0" applyNumberFormat="1" applyFont="1" applyFill="1" applyBorder="1" applyAlignment="1" applyProtection="1">
      <alignment horizontal="center" vertical="center"/>
    </xf>
    <xf numFmtId="41" fontId="21" fillId="0" borderId="11" xfId="0" applyNumberFormat="1" applyFont="1" applyFill="1" applyBorder="1" applyAlignment="1" applyProtection="1">
      <alignment horizontal="center" vertical="center"/>
    </xf>
    <xf numFmtId="0" fontId="21" fillId="0" borderId="10" xfId="0" applyFont="1" applyFill="1" applyBorder="1" applyAlignment="1" applyProtection="1">
      <alignment horizontal="center" vertical="center"/>
    </xf>
    <xf numFmtId="0" fontId="21" fillId="0" borderId="11" xfId="0" applyFont="1" applyFill="1" applyBorder="1" applyAlignment="1" applyProtection="1">
      <alignment horizontal="center" vertical="center"/>
    </xf>
    <xf numFmtId="41" fontId="21" fillId="11" borderId="10" xfId="0" applyNumberFormat="1" applyFont="1" applyFill="1" applyBorder="1" applyAlignment="1" applyProtection="1">
      <alignment horizontal="center" vertical="center"/>
    </xf>
    <xf numFmtId="41" fontId="21" fillId="11" borderId="11" xfId="0" applyNumberFormat="1" applyFont="1" applyFill="1" applyBorder="1" applyAlignment="1" applyProtection="1">
      <alignment horizontal="center" vertical="center"/>
    </xf>
    <xf numFmtId="0" fontId="21" fillId="8" borderId="10" xfId="0" applyFont="1" applyFill="1" applyBorder="1" applyAlignment="1" applyProtection="1">
      <alignment horizontal="center" vertical="center"/>
      <protection locked="0"/>
    </xf>
    <xf numFmtId="0" fontId="21" fillId="8" borderId="11" xfId="0" applyFont="1" applyFill="1" applyBorder="1" applyAlignment="1" applyProtection="1">
      <alignment horizontal="center" vertical="center"/>
      <protection locked="0"/>
    </xf>
    <xf numFmtId="178" fontId="19" fillId="0" borderId="5" xfId="0" applyNumberFormat="1" applyFont="1" applyFill="1" applyBorder="1" applyAlignment="1" applyProtection="1">
      <alignment vertical="center"/>
    </xf>
    <xf numFmtId="178" fontId="19" fillId="0" borderId="13" xfId="0" applyNumberFormat="1" applyFont="1" applyFill="1" applyBorder="1" applyAlignment="1" applyProtection="1">
      <alignment vertical="center"/>
    </xf>
    <xf numFmtId="178" fontId="19" fillId="0" borderId="5" xfId="0" applyNumberFormat="1" applyFont="1" applyFill="1" applyBorder="1" applyAlignment="1" applyProtection="1">
      <alignment horizontal="center" vertical="center"/>
    </xf>
    <xf numFmtId="0" fontId="19" fillId="0" borderId="13" xfId="0" applyFont="1" applyFill="1" applyBorder="1" applyAlignment="1" applyProtection="1">
      <alignment horizontal="center" vertical="center"/>
    </xf>
    <xf numFmtId="0" fontId="19" fillId="0" borderId="10" xfId="0" applyFont="1" applyFill="1" applyBorder="1" applyAlignment="1" applyProtection="1">
      <alignment horizontal="right" vertical="center"/>
      <protection locked="0"/>
    </xf>
    <xf numFmtId="0" fontId="19" fillId="0" borderId="17" xfId="0" applyFont="1" applyFill="1" applyBorder="1" applyAlignment="1" applyProtection="1">
      <alignment horizontal="right" vertical="center"/>
      <protection locked="0"/>
    </xf>
    <xf numFmtId="0" fontId="19" fillId="0" borderId="11" xfId="0" applyFont="1" applyFill="1" applyBorder="1" applyAlignment="1" applyProtection="1">
      <alignment horizontal="right" vertical="center"/>
      <protection locked="0"/>
    </xf>
    <xf numFmtId="178" fontId="19" fillId="0" borderId="10" xfId="0" applyNumberFormat="1" applyFont="1" applyFill="1" applyBorder="1" applyAlignment="1" applyProtection="1">
      <alignment horizontal="right" vertical="center"/>
    </xf>
    <xf numFmtId="178" fontId="19" fillId="0" borderId="17" xfId="0" applyNumberFormat="1" applyFont="1" applyFill="1" applyBorder="1" applyAlignment="1" applyProtection="1">
      <alignment horizontal="right" vertical="center"/>
    </xf>
    <xf numFmtId="178" fontId="19" fillId="0" borderId="11" xfId="0" applyNumberFormat="1" applyFont="1" applyFill="1" applyBorder="1" applyAlignment="1" applyProtection="1">
      <alignment horizontal="right" vertical="center"/>
    </xf>
    <xf numFmtId="178" fontId="11" fillId="0" borderId="2" xfId="0" applyNumberFormat="1" applyFont="1" applyFill="1" applyBorder="1" applyAlignment="1" applyProtection="1">
      <alignment horizontal="right" vertical="center"/>
    </xf>
    <xf numFmtId="0" fontId="19" fillId="0" borderId="2" xfId="0" applyFont="1" applyFill="1" applyBorder="1" applyAlignment="1" applyProtection="1">
      <alignment horizontal="right" vertical="center"/>
    </xf>
    <xf numFmtId="0" fontId="19" fillId="0" borderId="2" xfId="0" applyFont="1" applyFill="1" applyBorder="1" applyAlignment="1" applyProtection="1">
      <alignment horizontal="right" vertical="center"/>
      <protection locked="0"/>
    </xf>
    <xf numFmtId="0" fontId="24" fillId="8" borderId="10" xfId="0" applyFont="1" applyFill="1" applyBorder="1" applyAlignment="1" applyProtection="1">
      <alignment horizontal="center" vertical="center" shrinkToFit="1"/>
      <protection locked="0"/>
    </xf>
    <xf numFmtId="0" fontId="24" fillId="8" borderId="11" xfId="0" applyFont="1" applyFill="1" applyBorder="1" applyAlignment="1" applyProtection="1">
      <alignment horizontal="center" vertical="center" shrinkToFit="1"/>
      <protection locked="0"/>
    </xf>
    <xf numFmtId="0" fontId="31" fillId="8" borderId="5" xfId="0" applyFont="1" applyFill="1" applyBorder="1" applyAlignment="1" applyProtection="1">
      <alignment horizontal="center" vertical="center"/>
      <protection locked="0"/>
    </xf>
    <xf numFmtId="0" fontId="31" fillId="8" borderId="13" xfId="0" applyFont="1" applyFill="1" applyBorder="1" applyAlignment="1" applyProtection="1">
      <alignment horizontal="center" vertical="center"/>
      <protection locked="0"/>
    </xf>
    <xf numFmtId="0" fontId="19" fillId="0" borderId="5" xfId="0" applyFont="1" applyFill="1" applyBorder="1" applyAlignment="1" applyProtection="1">
      <alignment vertical="center"/>
      <protection locked="0"/>
    </xf>
    <xf numFmtId="0" fontId="19" fillId="0" borderId="13" xfId="0" applyFont="1" applyFill="1" applyBorder="1" applyAlignment="1" applyProtection="1">
      <alignment vertical="center"/>
      <protection locked="0"/>
    </xf>
    <xf numFmtId="0" fontId="19" fillId="0" borderId="5" xfId="0" applyFont="1" applyFill="1" applyBorder="1" applyAlignment="1" applyProtection="1">
      <alignment horizontal="center" vertical="center"/>
      <protection locked="0"/>
    </xf>
    <xf numFmtId="0" fontId="19" fillId="0" borderId="13" xfId="0" applyFont="1" applyFill="1" applyBorder="1" applyAlignment="1" applyProtection="1">
      <alignment horizontal="center" vertical="center"/>
      <protection locked="0"/>
    </xf>
    <xf numFmtId="0" fontId="19" fillId="0" borderId="50" xfId="0" applyFont="1" applyFill="1" applyBorder="1" applyAlignment="1" applyProtection="1">
      <alignment horizontal="left" vertical="center" wrapText="1"/>
      <protection locked="0"/>
    </xf>
    <xf numFmtId="0" fontId="19" fillId="0" borderId="51" xfId="0" applyFont="1" applyFill="1" applyBorder="1" applyAlignment="1" applyProtection="1">
      <alignment horizontal="left" vertical="center"/>
      <protection locked="0"/>
    </xf>
    <xf numFmtId="0" fontId="19" fillId="0" borderId="10" xfId="0" applyFont="1" applyFill="1" applyBorder="1" applyAlignment="1" applyProtection="1">
      <alignment horizontal="center" vertical="center"/>
      <protection locked="0"/>
    </xf>
    <xf numFmtId="0" fontId="19" fillId="0" borderId="11" xfId="0" applyFont="1" applyFill="1" applyBorder="1" applyAlignment="1" applyProtection="1">
      <alignment horizontal="center" vertical="center"/>
      <protection locked="0"/>
    </xf>
    <xf numFmtId="0" fontId="19" fillId="0" borderId="10" xfId="0" applyFont="1" applyFill="1" applyBorder="1" applyAlignment="1" applyProtection="1">
      <alignment horizontal="center" vertical="center" wrapText="1"/>
      <protection locked="0"/>
    </xf>
    <xf numFmtId="0" fontId="19" fillId="0" borderId="11" xfId="0" applyFont="1" applyFill="1" applyBorder="1" applyAlignment="1" applyProtection="1">
      <alignment horizontal="center" vertical="center" wrapText="1"/>
      <protection locked="0"/>
    </xf>
    <xf numFmtId="0" fontId="19" fillId="0" borderId="30" xfId="0" applyFont="1" applyFill="1" applyBorder="1" applyAlignment="1" applyProtection="1">
      <alignment horizontal="center" vertical="center"/>
      <protection locked="0"/>
    </xf>
    <xf numFmtId="0" fontId="19" fillId="0" borderId="19" xfId="0" applyFont="1" applyFill="1" applyBorder="1" applyAlignment="1" applyProtection="1">
      <alignment horizontal="center" vertical="center"/>
      <protection locked="0"/>
    </xf>
    <xf numFmtId="178" fontId="19" fillId="0" borderId="2" xfId="0" applyNumberFormat="1" applyFont="1" applyFill="1" applyBorder="1" applyAlignment="1" applyProtection="1">
      <alignment horizontal="right" vertical="center"/>
    </xf>
    <xf numFmtId="178" fontId="31" fillId="8" borderId="2" xfId="0" applyNumberFormat="1" applyFont="1" applyFill="1" applyBorder="1" applyAlignment="1" applyProtection="1">
      <alignment horizontal="right" vertical="center"/>
      <protection locked="0"/>
    </xf>
    <xf numFmtId="0" fontId="24" fillId="0" borderId="10" xfId="0" applyFont="1" applyFill="1" applyBorder="1" applyAlignment="1" applyProtection="1">
      <alignment horizontal="center" vertical="center" wrapText="1"/>
    </xf>
    <xf numFmtId="0" fontId="24" fillId="0" borderId="11" xfId="0" applyFont="1" applyFill="1" applyBorder="1" applyAlignment="1" applyProtection="1">
      <alignment horizontal="center" vertical="center" wrapText="1"/>
    </xf>
    <xf numFmtId="0" fontId="11" fillId="0" borderId="49" xfId="0" applyFont="1" applyFill="1" applyBorder="1" applyAlignment="1" applyProtection="1">
      <alignment horizontal="center" vertical="center"/>
    </xf>
    <xf numFmtId="0" fontId="11" fillId="0" borderId="44" xfId="0" applyFont="1" applyFill="1" applyBorder="1" applyAlignment="1" applyProtection="1">
      <alignment horizontal="center" vertical="center"/>
    </xf>
    <xf numFmtId="0" fontId="37" fillId="0" borderId="0" xfId="0" applyFont="1" applyAlignment="1" applyProtection="1">
      <alignment horizontal="center"/>
    </xf>
    <xf numFmtId="0" fontId="19" fillId="0" borderId="46" xfId="0" applyFont="1" applyFill="1" applyBorder="1" applyAlignment="1" applyProtection="1">
      <alignment horizontal="center" vertical="center"/>
    </xf>
    <xf numFmtId="0" fontId="19" fillId="0" borderId="14" xfId="0" applyFont="1" applyFill="1" applyBorder="1" applyAlignment="1" applyProtection="1">
      <alignment horizontal="center" vertical="center"/>
    </xf>
    <xf numFmtId="0" fontId="19" fillId="0" borderId="50" xfId="0" applyFont="1" applyFill="1" applyBorder="1" applyAlignment="1" applyProtection="1">
      <alignment horizontal="left" vertical="center" wrapText="1"/>
    </xf>
    <xf numFmtId="0" fontId="19" fillId="0" borderId="51" xfId="0" applyFont="1" applyFill="1" applyBorder="1" applyAlignment="1" applyProtection="1">
      <alignment horizontal="left" vertical="center"/>
    </xf>
    <xf numFmtId="0" fontId="19" fillId="0" borderId="31" xfId="0" applyFont="1" applyFill="1" applyBorder="1" applyAlignment="1" applyProtection="1">
      <alignment horizontal="center" vertical="center"/>
    </xf>
    <xf numFmtId="0" fontId="19" fillId="0" borderId="32" xfId="0" applyFont="1" applyFill="1" applyBorder="1" applyAlignment="1" applyProtection="1">
      <alignment horizontal="center" vertical="center"/>
    </xf>
    <xf numFmtId="0" fontId="19" fillId="0" borderId="42" xfId="0" applyFont="1" applyFill="1" applyBorder="1" applyAlignment="1" applyProtection="1">
      <alignment horizontal="center" vertical="center"/>
    </xf>
    <xf numFmtId="0" fontId="19" fillId="0" borderId="43" xfId="0" applyFont="1" applyFill="1" applyBorder="1" applyAlignment="1" applyProtection="1">
      <alignment horizontal="center" vertical="center"/>
    </xf>
    <xf numFmtId="0" fontId="19" fillId="0" borderId="42" xfId="0" applyFont="1" applyFill="1" applyBorder="1" applyAlignment="1" applyProtection="1">
      <alignment horizontal="center" vertical="center" wrapText="1"/>
    </xf>
    <xf numFmtId="0" fontId="19" fillId="0" borderId="43" xfId="0" applyFont="1" applyFill="1" applyBorder="1" applyAlignment="1" applyProtection="1">
      <alignment horizontal="center" vertical="center" wrapText="1"/>
    </xf>
    <xf numFmtId="178" fontId="11" fillId="0" borderId="44" xfId="0" applyNumberFormat="1" applyFont="1" applyFill="1" applyBorder="1" applyAlignment="1" applyProtection="1">
      <alignment horizontal="center" vertical="center"/>
    </xf>
    <xf numFmtId="178" fontId="11" fillId="0" borderId="45" xfId="0" applyNumberFormat="1" applyFont="1" applyFill="1" applyBorder="1" applyAlignment="1" applyProtection="1">
      <alignment horizontal="center" vertical="center"/>
    </xf>
    <xf numFmtId="178" fontId="11" fillId="0" borderId="2" xfId="0" applyNumberFormat="1" applyFont="1" applyFill="1" applyBorder="1" applyAlignment="1" applyProtection="1">
      <alignment horizontal="center" vertical="center"/>
    </xf>
    <xf numFmtId="178" fontId="11" fillId="0" borderId="3" xfId="0" applyNumberFormat="1" applyFont="1" applyFill="1" applyBorder="1" applyAlignment="1" applyProtection="1">
      <alignment horizontal="center" vertical="center"/>
    </xf>
    <xf numFmtId="0" fontId="36" fillId="0" borderId="0" xfId="0" applyFont="1" applyBorder="1" applyAlignment="1" applyProtection="1">
      <alignment horizontal="center" wrapText="1"/>
    </xf>
    <xf numFmtId="0" fontId="36" fillId="0" borderId="48" xfId="0" applyFont="1" applyBorder="1" applyAlignment="1" applyProtection="1">
      <alignment horizontal="center" wrapText="1"/>
    </xf>
    <xf numFmtId="0" fontId="11" fillId="0" borderId="44" xfId="0" applyFont="1" applyBorder="1" applyAlignment="1" applyProtection="1">
      <alignment horizontal="center" vertical="center" wrapText="1"/>
    </xf>
    <xf numFmtId="0" fontId="11" fillId="0" borderId="45" xfId="0" applyFont="1" applyBorder="1" applyAlignment="1" applyProtection="1">
      <alignment horizontal="center" vertical="center" wrapText="1"/>
    </xf>
    <xf numFmtId="0" fontId="11" fillId="0" borderId="2" xfId="0" applyFont="1" applyBorder="1" applyAlignment="1" applyProtection="1">
      <alignment horizontal="center" vertical="center" wrapText="1"/>
    </xf>
    <xf numFmtId="0" fontId="11" fillId="0" borderId="3" xfId="0" applyFont="1" applyBorder="1" applyAlignment="1" applyProtection="1">
      <alignment horizontal="center" vertical="center" wrapText="1"/>
    </xf>
    <xf numFmtId="0" fontId="33" fillId="0" borderId="45" xfId="0" applyFont="1" applyFill="1" applyBorder="1" applyAlignment="1" applyProtection="1">
      <alignment horizontal="center" vertical="center" wrapText="1"/>
    </xf>
    <xf numFmtId="0" fontId="33" fillId="0" borderId="3" xfId="0" applyFont="1" applyFill="1" applyBorder="1" applyAlignment="1" applyProtection="1">
      <alignment horizontal="center" vertical="center" wrapText="1"/>
    </xf>
    <xf numFmtId="179" fontId="11" fillId="0" borderId="9" xfId="2" applyNumberFormat="1" applyFont="1" applyFill="1" applyBorder="1" applyAlignment="1" applyProtection="1">
      <alignment horizontal="center" vertical="center"/>
    </xf>
    <xf numFmtId="179" fontId="11" fillId="0" borderId="15" xfId="2" applyNumberFormat="1" applyFont="1" applyFill="1" applyBorder="1" applyAlignment="1" applyProtection="1">
      <alignment horizontal="center" vertical="center"/>
    </xf>
    <xf numFmtId="49" fontId="33" fillId="0" borderId="44" xfId="0" applyNumberFormat="1" applyFont="1" applyFill="1" applyBorder="1" applyAlignment="1" applyProtection="1">
      <alignment horizontal="center" vertical="center" wrapText="1"/>
    </xf>
    <xf numFmtId="49" fontId="33" fillId="0" borderId="2" xfId="0" applyNumberFormat="1" applyFont="1" applyFill="1" applyBorder="1" applyAlignment="1" applyProtection="1">
      <alignment horizontal="center" vertical="center" wrapText="1"/>
    </xf>
    <xf numFmtId="179" fontId="11" fillId="0" borderId="5" xfId="2" applyNumberFormat="1" applyFont="1" applyFill="1" applyBorder="1" applyAlignment="1" applyProtection="1">
      <alignment horizontal="center" vertical="center"/>
    </xf>
    <xf numFmtId="179" fontId="11" fillId="0" borderId="13" xfId="2" applyNumberFormat="1" applyFont="1" applyFill="1" applyBorder="1" applyAlignment="1" applyProtection="1">
      <alignment horizontal="center" vertical="center"/>
    </xf>
    <xf numFmtId="0" fontId="32" fillId="0" borderId="44" xfId="0" applyFont="1" applyFill="1" applyBorder="1" applyAlignment="1" applyProtection="1">
      <alignment horizontal="center" vertical="center" wrapText="1"/>
    </xf>
    <xf numFmtId="0" fontId="32" fillId="0" borderId="2" xfId="0" applyFont="1" applyFill="1" applyBorder="1" applyAlignment="1" applyProtection="1">
      <alignment horizontal="center" vertical="center" wrapText="1"/>
    </xf>
    <xf numFmtId="0" fontId="33" fillId="0" borderId="44" xfId="0" applyFont="1" applyFill="1" applyBorder="1" applyAlignment="1" applyProtection="1">
      <alignment horizontal="center" vertical="center" wrapText="1"/>
    </xf>
    <xf numFmtId="0" fontId="33" fillId="0" borderId="2" xfId="0" applyFont="1" applyFill="1" applyBorder="1" applyAlignment="1" applyProtection="1">
      <alignment horizontal="center" vertical="center" wrapText="1"/>
    </xf>
    <xf numFmtId="0" fontId="73" fillId="0" borderId="0" xfId="0" applyFont="1" applyAlignment="1">
      <alignment horizontal="center" vertical="center" textRotation="255"/>
    </xf>
    <xf numFmtId="0" fontId="0" fillId="0" borderId="16" xfId="0" applyBorder="1" applyAlignment="1" applyProtection="1">
      <alignment horizontal="center" wrapText="1"/>
    </xf>
    <xf numFmtId="0" fontId="0" fillId="0" borderId="0" xfId="0" applyAlignment="1" applyProtection="1">
      <alignment horizontal="center" wrapText="1"/>
    </xf>
    <xf numFmtId="0" fontId="11" fillId="0" borderId="65" xfId="0" applyFont="1" applyBorder="1" applyAlignment="1" applyProtection="1">
      <alignment horizontal="center" shrinkToFit="1"/>
    </xf>
    <xf numFmtId="0" fontId="11" fillId="0" borderId="27" xfId="0" applyFont="1" applyBorder="1" applyAlignment="1" applyProtection="1">
      <alignment horizontal="center" shrinkToFit="1"/>
    </xf>
    <xf numFmtId="0" fontId="11" fillId="0" borderId="23" xfId="0" applyFont="1" applyBorder="1" applyAlignment="1" applyProtection="1">
      <alignment horizontal="center" shrinkToFit="1"/>
    </xf>
    <xf numFmtId="178" fontId="11" fillId="0" borderId="22" xfId="0" applyNumberFormat="1" applyFont="1" applyBorder="1" applyAlignment="1" applyProtection="1">
      <alignment horizontal="center"/>
    </xf>
    <xf numFmtId="0" fontId="11" fillId="0" borderId="22" xfId="0" applyFont="1" applyBorder="1" applyAlignment="1" applyProtection="1">
      <alignment horizontal="center"/>
    </xf>
    <xf numFmtId="0" fontId="11" fillId="0" borderId="8" xfId="0" applyFont="1" applyBorder="1" applyAlignment="1" applyProtection="1">
      <alignment horizontal="center"/>
    </xf>
    <xf numFmtId="178" fontId="11" fillId="0" borderId="10" xfId="0" applyNumberFormat="1" applyFont="1" applyBorder="1" applyAlignment="1" applyProtection="1">
      <alignment horizontal="center" vertical="center"/>
    </xf>
    <xf numFmtId="178" fontId="11" fillId="0" borderId="11" xfId="0" applyNumberFormat="1" applyFont="1" applyBorder="1" applyAlignment="1" applyProtection="1">
      <alignment horizontal="center" vertical="center"/>
    </xf>
    <xf numFmtId="0" fontId="11" fillId="0" borderId="49" xfId="0" applyFont="1" applyBorder="1" applyAlignment="1" applyProtection="1">
      <alignment horizontal="center" vertical="center"/>
    </xf>
    <xf numFmtId="0" fontId="59" fillId="12" borderId="2" xfId="3" applyFont="1" applyFill="1" applyBorder="1" applyAlignment="1" applyProtection="1">
      <alignment horizontal="right" vertical="center" wrapText="1"/>
    </xf>
    <xf numFmtId="179" fontId="50" fillId="6" borderId="57" xfId="5" applyNumberFormat="1" applyFont="1" applyFill="1" applyBorder="1" applyAlignment="1" applyProtection="1">
      <alignment horizontal="center" vertical="center" wrapText="1"/>
      <protection locked="0"/>
    </xf>
    <xf numFmtId="0" fontId="11" fillId="6" borderId="57" xfId="3" applyFont="1" applyFill="1" applyBorder="1" applyAlignment="1" applyProtection="1">
      <alignment horizontal="center" vertical="center" wrapText="1"/>
      <protection locked="0"/>
    </xf>
    <xf numFmtId="0" fontId="55" fillId="0" borderId="62" xfId="3" applyFont="1" applyFill="1" applyBorder="1" applyAlignment="1" applyProtection="1">
      <alignment horizontal="left" vertical="center"/>
      <protection locked="0"/>
    </xf>
    <xf numFmtId="0" fontId="56" fillId="0" borderId="62" xfId="3" applyFont="1" applyBorder="1" applyAlignment="1" applyProtection="1">
      <alignment horizontal="left" vertical="center"/>
      <protection locked="0"/>
    </xf>
    <xf numFmtId="0" fontId="57" fillId="0" borderId="12" xfId="3" applyFont="1" applyBorder="1" applyAlignment="1" applyProtection="1">
      <alignment horizontal="center" wrapText="1"/>
      <protection locked="0"/>
    </xf>
    <xf numFmtId="0" fontId="53" fillId="12" borderId="2" xfId="3" applyFont="1" applyFill="1" applyBorder="1" applyAlignment="1" applyProtection="1">
      <alignment horizontal="center" vertical="center" wrapText="1"/>
      <protection locked="0"/>
    </xf>
    <xf numFmtId="0" fontId="53" fillId="12" borderId="5" xfId="3" applyFont="1" applyFill="1" applyBorder="1" applyAlignment="1" applyProtection="1">
      <alignment horizontal="center" vertical="center" wrapText="1"/>
      <protection locked="0"/>
    </xf>
    <xf numFmtId="0" fontId="59" fillId="12" borderId="5" xfId="3" applyFont="1" applyFill="1" applyBorder="1" applyAlignment="1" applyProtection="1">
      <alignment horizontal="center" vertical="center" wrapText="1"/>
      <protection locked="0"/>
    </xf>
    <xf numFmtId="0" fontId="59" fillId="12" borderId="63" xfId="3" applyFont="1" applyFill="1" applyBorder="1" applyAlignment="1" applyProtection="1">
      <alignment horizontal="center" vertical="center" wrapText="1"/>
      <protection locked="0"/>
    </xf>
    <xf numFmtId="0" fontId="59" fillId="12" borderId="10" xfId="3" applyFont="1" applyFill="1" applyBorder="1" applyAlignment="1" applyProtection="1">
      <alignment horizontal="center" vertical="center" wrapText="1"/>
      <protection locked="0"/>
    </xf>
    <xf numFmtId="0" fontId="59" fillId="12" borderId="11" xfId="3" applyFont="1" applyFill="1" applyBorder="1" applyAlignment="1" applyProtection="1">
      <alignment horizontal="center" vertical="center" wrapText="1"/>
      <protection locked="0"/>
    </xf>
    <xf numFmtId="0" fontId="38" fillId="0" borderId="5" xfId="3" applyFont="1" applyBorder="1" applyAlignment="1" applyProtection="1">
      <alignment horizontal="center" vertical="center" wrapText="1"/>
      <protection locked="0"/>
    </xf>
    <xf numFmtId="0" fontId="48" fillId="0" borderId="52" xfId="3" applyFont="1" applyBorder="1" applyAlignment="1" applyProtection="1">
      <alignment horizontal="center" vertical="center"/>
      <protection locked="0"/>
    </xf>
    <xf numFmtId="0" fontId="49" fillId="6" borderId="53" xfId="3" applyFont="1" applyFill="1" applyBorder="1" applyAlignment="1" applyProtection="1">
      <alignment horizontal="center" vertical="center" wrapText="1"/>
      <protection locked="0"/>
    </xf>
    <xf numFmtId="0" fontId="49" fillId="6" borderId="54" xfId="3" applyFont="1" applyFill="1" applyBorder="1" applyAlignment="1" applyProtection="1">
      <alignment horizontal="center" vertical="center" wrapText="1"/>
      <protection locked="0"/>
    </xf>
    <xf numFmtId="0" fontId="50" fillId="6" borderId="54" xfId="3" applyFont="1" applyFill="1" applyBorder="1" applyAlignment="1" applyProtection="1">
      <alignment horizontal="center" vertical="center" wrapText="1"/>
      <protection locked="0"/>
    </xf>
    <xf numFmtId="180" fontId="50" fillId="6" borderId="54" xfId="4" applyNumberFormat="1" applyFont="1" applyFill="1" applyBorder="1" applyAlignment="1" applyProtection="1">
      <alignment horizontal="center" vertical="center" wrapText="1"/>
      <protection locked="0"/>
    </xf>
    <xf numFmtId="180" fontId="50" fillId="6" borderId="2" xfId="4" applyNumberFormat="1" applyFont="1" applyFill="1" applyBorder="1" applyAlignment="1" applyProtection="1">
      <alignment horizontal="center" vertical="center"/>
      <protection locked="0"/>
    </xf>
    <xf numFmtId="0" fontId="11" fillId="6" borderId="2" xfId="3" applyFont="1" applyFill="1" applyBorder="1" applyAlignment="1" applyProtection="1">
      <alignment horizontal="center" vertical="center"/>
      <protection locked="0"/>
    </xf>
    <xf numFmtId="179" fontId="52" fillId="6" borderId="54" xfId="5" applyNumberFormat="1" applyFont="1" applyFill="1" applyBorder="1" applyAlignment="1" applyProtection="1">
      <alignment horizontal="center" vertical="center" wrapText="1"/>
      <protection locked="0"/>
    </xf>
    <xf numFmtId="0" fontId="52" fillId="6" borderId="54" xfId="3" applyFont="1" applyFill="1" applyBorder="1" applyAlignment="1" applyProtection="1">
      <alignment horizontal="center" vertical="center" wrapText="1"/>
      <protection locked="0"/>
    </xf>
    <xf numFmtId="0" fontId="52" fillId="6" borderId="55" xfId="3" applyFont="1" applyFill="1" applyBorder="1" applyAlignment="1" applyProtection="1">
      <alignment horizontal="center" vertical="center" wrapText="1"/>
      <protection locked="0"/>
    </xf>
    <xf numFmtId="0" fontId="52" fillId="6" borderId="56" xfId="3" applyFont="1" applyFill="1" applyBorder="1" applyAlignment="1" applyProtection="1">
      <alignment horizontal="center" vertical="center"/>
      <protection locked="0"/>
    </xf>
    <xf numFmtId="179" fontId="52" fillId="6" borderId="2" xfId="5" applyNumberFormat="1" applyFont="1" applyFill="1" applyBorder="1" applyAlignment="1" applyProtection="1">
      <alignment horizontal="right" vertical="center"/>
      <protection locked="0"/>
    </xf>
    <xf numFmtId="0" fontId="52" fillId="6" borderId="2" xfId="3" applyFont="1" applyFill="1" applyBorder="1" applyAlignment="1" applyProtection="1">
      <alignment horizontal="right" vertical="center"/>
      <protection locked="0"/>
    </xf>
    <xf numFmtId="179" fontId="49" fillId="6" borderId="2" xfId="5" applyNumberFormat="1" applyFont="1" applyFill="1" applyBorder="1" applyAlignment="1" applyProtection="1">
      <alignment horizontal="center" vertical="center" wrapText="1"/>
      <protection locked="0"/>
    </xf>
    <xf numFmtId="0" fontId="49" fillId="6" borderId="2" xfId="3" applyFont="1" applyFill="1" applyBorder="1" applyAlignment="1" applyProtection="1">
      <alignment horizontal="center" vertical="center"/>
      <protection locked="0"/>
    </xf>
    <xf numFmtId="41" fontId="9" fillId="6" borderId="2" xfId="3" applyNumberFormat="1" applyFont="1" applyFill="1" applyBorder="1" applyAlignment="1" applyProtection="1">
      <alignment horizontal="center" vertical="center" wrapText="1"/>
      <protection locked="0" hidden="1"/>
    </xf>
    <xf numFmtId="0" fontId="11" fillId="6" borderId="2" xfId="3" applyFont="1" applyFill="1" applyBorder="1" applyAlignment="1" applyProtection="1">
      <alignment horizontal="center" vertical="center" wrapText="1"/>
      <protection locked="0"/>
    </xf>
    <xf numFmtId="179" fontId="50" fillId="6" borderId="2" xfId="5" applyNumberFormat="1" applyFont="1" applyFill="1" applyBorder="1" applyAlignment="1" applyProtection="1">
      <alignment horizontal="center" vertical="center" wrapText="1"/>
      <protection locked="0"/>
    </xf>
    <xf numFmtId="0" fontId="68" fillId="0" borderId="0" xfId="6" applyFont="1" applyFill="1" applyBorder="1" applyAlignment="1">
      <alignment horizontal="center" vertical="center"/>
    </xf>
    <xf numFmtId="0" fontId="11" fillId="0" borderId="2" xfId="6" applyFont="1" applyFill="1" applyBorder="1" applyAlignment="1">
      <alignment horizontal="center" vertical="center" wrapText="1"/>
    </xf>
    <xf numFmtId="0" fontId="66" fillId="0" borderId="2" xfId="6" applyFont="1" applyFill="1" applyBorder="1" applyAlignment="1">
      <alignment horizontal="center" vertical="center" wrapText="1"/>
    </xf>
    <xf numFmtId="0" fontId="66" fillId="0" borderId="64" xfId="6" applyFont="1" applyFill="1" applyBorder="1" applyAlignment="1">
      <alignment horizontal="center" vertical="center" wrapText="1"/>
    </xf>
    <xf numFmtId="0" fontId="66" fillId="0" borderId="37" xfId="6" applyFont="1" applyFill="1" applyBorder="1" applyAlignment="1">
      <alignment horizontal="center" vertical="center" wrapText="1"/>
    </xf>
    <xf numFmtId="0" fontId="66" fillId="0" borderId="39" xfId="6" applyFont="1" applyFill="1" applyBorder="1" applyAlignment="1">
      <alignment horizontal="center" vertical="center" wrapText="1"/>
    </xf>
    <xf numFmtId="0" fontId="0" fillId="0" borderId="10" xfId="0" applyBorder="1" applyAlignment="1" applyProtection="1">
      <alignment horizontal="center" vertical="center"/>
    </xf>
    <xf numFmtId="0" fontId="0" fillId="0" borderId="11" xfId="0" applyBorder="1" applyAlignment="1" applyProtection="1">
      <alignment horizontal="center" vertical="center"/>
    </xf>
    <xf numFmtId="176" fontId="46" fillId="2" borderId="0" xfId="0" applyNumberFormat="1" applyFont="1" applyFill="1" applyAlignment="1" applyProtection="1">
      <alignment horizontal="distributed" vertical="center"/>
    </xf>
    <xf numFmtId="0" fontId="7" fillId="0" borderId="0" xfId="0" applyFont="1" applyBorder="1" applyAlignment="1" applyProtection="1">
      <alignment horizontal="center" vertical="center"/>
    </xf>
    <xf numFmtId="0" fontId="7" fillId="0" borderId="34" xfId="0" applyFont="1" applyBorder="1" applyAlignment="1" applyProtection="1">
      <alignment horizontal="center" vertical="center"/>
    </xf>
    <xf numFmtId="0" fontId="7" fillId="0" borderId="12" xfId="0" applyFont="1" applyBorder="1" applyAlignment="1" applyProtection="1">
      <alignment horizontal="center" vertical="center"/>
    </xf>
    <xf numFmtId="0" fontId="7" fillId="0" borderId="35" xfId="0" applyFont="1" applyBorder="1" applyAlignment="1" applyProtection="1">
      <alignment horizontal="center" vertical="center"/>
    </xf>
    <xf numFmtId="0" fontId="35" fillId="0" borderId="36" xfId="0" applyFont="1" applyBorder="1" applyAlignment="1" applyProtection="1">
      <alignment horizontal="center" vertical="center"/>
    </xf>
    <xf numFmtId="0" fontId="35" fillId="0" borderId="19" xfId="0" applyFont="1" applyBorder="1" applyAlignment="1" applyProtection="1">
      <alignment horizontal="center" vertical="center"/>
    </xf>
    <xf numFmtId="0" fontId="1" fillId="5" borderId="5" xfId="0" applyFont="1" applyFill="1" applyBorder="1" applyAlignment="1" applyProtection="1">
      <alignment horizontal="center" vertical="center" wrapText="1"/>
    </xf>
    <xf numFmtId="0" fontId="1" fillId="5" borderId="13" xfId="0" applyFont="1" applyFill="1" applyBorder="1" applyAlignment="1" applyProtection="1">
      <alignment horizontal="center" vertical="center" wrapText="1"/>
    </xf>
    <xf numFmtId="0" fontId="1" fillId="6" borderId="5" xfId="0" applyFont="1" applyFill="1" applyBorder="1" applyAlignment="1" applyProtection="1">
      <alignment horizontal="center" vertical="center" wrapText="1"/>
    </xf>
    <xf numFmtId="0" fontId="1" fillId="6" borderId="13" xfId="0" applyFont="1" applyFill="1" applyBorder="1" applyAlignment="1" applyProtection="1">
      <alignment horizontal="center" vertical="center" wrapText="1"/>
    </xf>
    <xf numFmtId="0" fontId="0" fillId="0" borderId="10" xfId="0" applyBorder="1" applyAlignment="1" applyProtection="1">
      <alignment horizontal="center" vertical="center" wrapText="1"/>
    </xf>
    <xf numFmtId="0" fontId="0" fillId="0" borderId="11" xfId="0" applyBorder="1" applyAlignment="1" applyProtection="1">
      <alignment horizontal="center" vertical="center" wrapText="1"/>
    </xf>
    <xf numFmtId="0" fontId="0" fillId="0" borderId="2" xfId="0" applyBorder="1" applyAlignment="1" applyProtection="1">
      <alignment horizontal="center" vertical="center"/>
    </xf>
    <xf numFmtId="176" fontId="0" fillId="0" borderId="5" xfId="0" applyNumberFormat="1" applyFont="1" applyBorder="1" applyAlignment="1" applyProtection="1">
      <alignment horizontal="center" vertical="center"/>
    </xf>
    <xf numFmtId="176" fontId="0" fillId="0" borderId="13" xfId="0" applyNumberFormat="1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13" xfId="0" applyFont="1" applyBorder="1" applyAlignment="1" applyProtection="1">
      <alignment horizontal="center" vertical="center"/>
    </xf>
    <xf numFmtId="0" fontId="0" fillId="7" borderId="16" xfId="0" applyFill="1" applyBorder="1" applyAlignment="1" applyProtection="1">
      <alignment horizontal="center" vertical="center" wrapText="1"/>
    </xf>
    <xf numFmtId="0" fontId="0" fillId="7" borderId="33" xfId="0" applyFill="1" applyBorder="1" applyAlignment="1" applyProtection="1">
      <alignment horizontal="center" vertical="center" wrapText="1"/>
    </xf>
    <xf numFmtId="176" fontId="0" fillId="0" borderId="16" xfId="0" applyNumberFormat="1" applyBorder="1" applyAlignment="1" applyProtection="1">
      <alignment horizontal="center" vertical="center"/>
    </xf>
    <xf numFmtId="176" fontId="0" fillId="0" borderId="16" xfId="0" applyNumberFormat="1" applyBorder="1" applyAlignment="1" applyProtection="1">
      <alignment horizontal="center" wrapText="1"/>
    </xf>
    <xf numFmtId="0" fontId="4" fillId="3" borderId="2" xfId="0" applyFont="1" applyFill="1" applyBorder="1" applyAlignment="1" applyProtection="1">
      <alignment horizontal="center" vertical="center" wrapText="1"/>
    </xf>
    <xf numFmtId="0" fontId="0" fillId="5" borderId="31" xfId="0" applyFill="1" applyBorder="1" applyAlignment="1" applyProtection="1">
      <alignment horizontal="center" vertical="center" wrapText="1"/>
    </xf>
    <xf numFmtId="0" fontId="0" fillId="5" borderId="16" xfId="0" applyFill="1" applyBorder="1" applyAlignment="1" applyProtection="1">
      <alignment horizontal="center" vertical="center" wrapText="1"/>
    </xf>
    <xf numFmtId="0" fontId="0" fillId="6" borderId="31" xfId="0" applyFill="1" applyBorder="1" applyAlignment="1" applyProtection="1">
      <alignment horizontal="center" vertical="center" wrapText="1"/>
    </xf>
    <xf numFmtId="0" fontId="0" fillId="6" borderId="32" xfId="0" applyFill="1" applyBorder="1" applyAlignment="1" applyProtection="1">
      <alignment horizontal="center" vertical="center" wrapText="1"/>
    </xf>
    <xf numFmtId="0" fontId="3" fillId="2" borderId="2" xfId="0" applyFont="1" applyFill="1" applyBorder="1" applyAlignment="1" applyProtection="1">
      <alignment horizontal="center" vertical="center"/>
    </xf>
  </cellXfs>
  <cellStyles count="7">
    <cellStyle name="一般" xfId="0" builtinId="0"/>
    <cellStyle name="一般 2" xfId="1"/>
    <cellStyle name="一般 3" xfId="3"/>
    <cellStyle name="一般 4" xfId="6"/>
    <cellStyle name="千分位" xfId="2" builtinId="3"/>
    <cellStyle name="千分位 2" xfId="5"/>
    <cellStyle name="百分比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10-1&#31169;&#31435;&#23416;&#26657;&#21407;&#20303;&#27665;&#23416;&#29983;&#25945;&#31185;&#26360;&#35036;&#21161;&#25945;&#31185;&#26360;&#35036;&#21161;&#37329;&#38989;&#32113;&#35336;&#34920;-&#22283;&#20013;(&#31169;&#31435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統計表"/>
      <sheetName val="工作表3"/>
      <sheetName val="抬頭"/>
      <sheetName val="A表及B表"/>
      <sheetName val="教科書單價表"/>
    </sheetNames>
    <sheetDataSet>
      <sheetData sheetId="0">
        <row r="1">
          <cell r="D1" t="str">
            <v>學校名稱</v>
          </cell>
        </row>
      </sheetData>
      <sheetData sheetId="1">
        <row r="5">
          <cell r="A5" t="str">
            <v>康軒</v>
          </cell>
        </row>
        <row r="6">
          <cell r="A6" t="str">
            <v>翰林</v>
          </cell>
        </row>
        <row r="7">
          <cell r="A7" t="str">
            <v>佳音</v>
          </cell>
        </row>
        <row r="8">
          <cell r="A8" t="str">
            <v>南一</v>
          </cell>
        </row>
        <row r="9">
          <cell r="A9" t="str">
            <v>全華</v>
          </cell>
        </row>
        <row r="10">
          <cell r="A10" t="str">
            <v>奇鼎</v>
          </cell>
        </row>
        <row r="11">
          <cell r="A11" t="str">
            <v>無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U33"/>
  <sheetViews>
    <sheetView tabSelected="1" zoomScale="90" zoomScaleNormal="9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A33" sqref="A33"/>
    </sheetView>
  </sheetViews>
  <sheetFormatPr defaultRowHeight="13.8"/>
  <cols>
    <col min="1" max="1" width="9.25" style="60" customWidth="1"/>
    <col min="2" max="15" width="7.625" style="60" customWidth="1"/>
    <col min="16" max="16" width="8.625" style="60" customWidth="1"/>
    <col min="17" max="19" width="9.25" style="60" customWidth="1"/>
    <col min="20" max="20" width="10.625" style="60" customWidth="1"/>
    <col min="21" max="21" width="15.875" style="60" customWidth="1"/>
    <col min="22" max="26" width="9.125" hidden="1" customWidth="1"/>
    <col min="27" max="28" width="0" hidden="1" customWidth="1"/>
    <col min="29" max="30" width="6.625" hidden="1" customWidth="1"/>
    <col min="31" max="31" width="7.125" hidden="1" customWidth="1"/>
    <col min="32" max="33" width="6.625" hidden="1" customWidth="1"/>
    <col min="34" max="34" width="7.125" hidden="1" customWidth="1"/>
    <col min="35" max="38" width="6.625" hidden="1" customWidth="1"/>
    <col min="39" max="40" width="0" hidden="1" customWidth="1"/>
    <col min="41" max="42" width="7.125" hidden="1" customWidth="1"/>
    <col min="43" max="43" width="8" hidden="1" customWidth="1"/>
    <col min="44" max="44" width="9.875" hidden="1" customWidth="1"/>
    <col min="45" max="47" width="12.75" hidden="1" customWidth="1"/>
  </cols>
  <sheetData>
    <row r="1" spans="1:47" ht="23.2" thickBot="1">
      <c r="B1" s="58"/>
      <c r="E1" s="66" t="s">
        <v>111</v>
      </c>
      <c r="F1" s="323" t="s">
        <v>369</v>
      </c>
      <c r="G1" s="323"/>
      <c r="H1" s="323"/>
      <c r="I1" s="323"/>
      <c r="J1" s="65" t="s">
        <v>223</v>
      </c>
      <c r="K1" s="58"/>
      <c r="L1" s="58"/>
      <c r="M1" s="58"/>
      <c r="N1" s="58"/>
      <c r="O1" s="58"/>
      <c r="P1" s="58"/>
      <c r="Q1" s="58"/>
      <c r="R1" s="58"/>
      <c r="S1" s="58"/>
      <c r="AA1" s="410" t="s">
        <v>259</v>
      </c>
      <c r="AB1" s="300" t="s">
        <v>250</v>
      </c>
      <c r="AC1" s="132"/>
      <c r="AD1" s="132"/>
      <c r="AE1" s="132"/>
      <c r="AF1" s="132"/>
      <c r="AG1" s="132"/>
      <c r="AH1" s="132"/>
      <c r="AI1" s="132"/>
      <c r="AJ1" s="132"/>
      <c r="AK1" s="132"/>
      <c r="AL1" s="132"/>
      <c r="AM1" s="132"/>
      <c r="AN1" s="132"/>
      <c r="AO1" s="132"/>
      <c r="AP1" s="132"/>
      <c r="AQ1" s="132"/>
      <c r="AR1" s="132"/>
      <c r="AS1" s="132"/>
      <c r="AT1" s="132"/>
      <c r="AU1" s="132"/>
    </row>
    <row r="2" spans="1:47" ht="36.950000000000003" customHeight="1">
      <c r="A2" s="363" t="s">
        <v>245</v>
      </c>
      <c r="B2" s="369" t="s">
        <v>118</v>
      </c>
      <c r="C2" s="370"/>
      <c r="D2" s="365" t="s">
        <v>117</v>
      </c>
      <c r="E2" s="366"/>
      <c r="F2" s="365" t="s">
        <v>89</v>
      </c>
      <c r="G2" s="366"/>
      <c r="H2" s="365" t="s">
        <v>90</v>
      </c>
      <c r="I2" s="366"/>
      <c r="J2" s="367" t="s">
        <v>240</v>
      </c>
      <c r="K2" s="368"/>
      <c r="L2" s="365" t="s">
        <v>91</v>
      </c>
      <c r="M2" s="366"/>
      <c r="N2" s="73" t="s">
        <v>92</v>
      </c>
      <c r="O2" s="73" t="s">
        <v>93</v>
      </c>
      <c r="P2" s="208" t="s">
        <v>246</v>
      </c>
      <c r="Q2" s="211" t="s">
        <v>242</v>
      </c>
      <c r="R2" s="211" t="s">
        <v>243</v>
      </c>
      <c r="S2" s="212" t="s">
        <v>244</v>
      </c>
      <c r="T2" s="214" t="s">
        <v>247</v>
      </c>
      <c r="U2" s="211" t="s">
        <v>248</v>
      </c>
      <c r="AA2" s="410"/>
      <c r="AB2" s="380" t="s">
        <v>245</v>
      </c>
      <c r="AC2" s="382" t="s">
        <v>118</v>
      </c>
      <c r="AD2" s="383"/>
      <c r="AE2" s="384" t="s">
        <v>117</v>
      </c>
      <c r="AF2" s="385"/>
      <c r="AG2" s="384" t="s">
        <v>89</v>
      </c>
      <c r="AH2" s="385"/>
      <c r="AI2" s="384" t="s">
        <v>90</v>
      </c>
      <c r="AJ2" s="385"/>
      <c r="AK2" s="386" t="s">
        <v>240</v>
      </c>
      <c r="AL2" s="387"/>
      <c r="AM2" s="384" t="s">
        <v>91</v>
      </c>
      <c r="AN2" s="385"/>
      <c r="AO2" s="301" t="s">
        <v>92</v>
      </c>
      <c r="AP2" s="301" t="s">
        <v>93</v>
      </c>
      <c r="AQ2" s="302" t="s">
        <v>252</v>
      </c>
      <c r="AR2" s="408" t="s">
        <v>301</v>
      </c>
      <c r="AS2" s="406" t="s">
        <v>302</v>
      </c>
      <c r="AT2" s="402" t="s">
        <v>303</v>
      </c>
      <c r="AU2" s="398" t="s">
        <v>304</v>
      </c>
    </row>
    <row r="3" spans="1:47" ht="16.899999999999999" customHeight="1">
      <c r="A3" s="364"/>
      <c r="B3" s="68" t="s">
        <v>94</v>
      </c>
      <c r="C3" s="68" t="s">
        <v>95</v>
      </c>
      <c r="D3" s="68" t="s">
        <v>94</v>
      </c>
      <c r="E3" s="68" t="s">
        <v>95</v>
      </c>
      <c r="F3" s="68" t="s">
        <v>94</v>
      </c>
      <c r="G3" s="68" t="s">
        <v>96</v>
      </c>
      <c r="H3" s="68" t="s">
        <v>97</v>
      </c>
      <c r="I3" s="68" t="s">
        <v>98</v>
      </c>
      <c r="J3" s="68" t="s">
        <v>94</v>
      </c>
      <c r="K3" s="68" t="s">
        <v>95</v>
      </c>
      <c r="L3" s="68" t="s">
        <v>99</v>
      </c>
      <c r="M3" s="68" t="s">
        <v>95</v>
      </c>
      <c r="N3" s="68" t="s">
        <v>94</v>
      </c>
      <c r="O3" s="68" t="s">
        <v>100</v>
      </c>
      <c r="P3" s="68" t="s">
        <v>99</v>
      </c>
      <c r="Q3" s="210" t="s">
        <v>296</v>
      </c>
      <c r="R3" s="210" t="s">
        <v>297</v>
      </c>
      <c r="S3" s="210" t="s">
        <v>298</v>
      </c>
      <c r="T3" s="213" t="s">
        <v>299</v>
      </c>
      <c r="U3" s="209" t="s">
        <v>300</v>
      </c>
      <c r="W3" t="s">
        <v>216</v>
      </c>
      <c r="X3" t="s">
        <v>217</v>
      </c>
      <c r="Y3" s="205" t="s">
        <v>222</v>
      </c>
      <c r="Z3" s="205" t="s">
        <v>221</v>
      </c>
      <c r="AA3" s="410"/>
      <c r="AB3" s="381"/>
      <c r="AC3" s="299" t="s">
        <v>94</v>
      </c>
      <c r="AD3" s="299" t="s">
        <v>95</v>
      </c>
      <c r="AE3" s="299" t="s">
        <v>94</v>
      </c>
      <c r="AF3" s="299" t="s">
        <v>95</v>
      </c>
      <c r="AG3" s="299" t="s">
        <v>94</v>
      </c>
      <c r="AH3" s="299" t="s">
        <v>95</v>
      </c>
      <c r="AI3" s="299" t="s">
        <v>94</v>
      </c>
      <c r="AJ3" s="299" t="s">
        <v>95</v>
      </c>
      <c r="AK3" s="299" t="s">
        <v>94</v>
      </c>
      <c r="AL3" s="299" t="s">
        <v>95</v>
      </c>
      <c r="AM3" s="299" t="s">
        <v>94</v>
      </c>
      <c r="AN3" s="299" t="s">
        <v>95</v>
      </c>
      <c r="AO3" s="299" t="s">
        <v>94</v>
      </c>
      <c r="AP3" s="299" t="s">
        <v>94</v>
      </c>
      <c r="AQ3" s="299" t="s">
        <v>94</v>
      </c>
      <c r="AR3" s="409"/>
      <c r="AS3" s="407"/>
      <c r="AT3" s="403"/>
      <c r="AU3" s="399"/>
    </row>
    <row r="4" spans="1:47" ht="20.2" customHeight="1">
      <c r="A4" s="361" t="s">
        <v>119</v>
      </c>
      <c r="B4" s="340" t="s">
        <v>376</v>
      </c>
      <c r="C4" s="341"/>
      <c r="D4" s="340" t="s">
        <v>377</v>
      </c>
      <c r="E4" s="341"/>
      <c r="F4" s="340" t="s">
        <v>377</v>
      </c>
      <c r="G4" s="341"/>
      <c r="H4" s="338">
        <v>0</v>
      </c>
      <c r="I4" s="339"/>
      <c r="J4" s="338">
        <v>0</v>
      </c>
      <c r="K4" s="339"/>
      <c r="L4" s="338">
        <v>0</v>
      </c>
      <c r="M4" s="339"/>
      <c r="N4" s="72" t="s">
        <v>377</v>
      </c>
      <c r="O4" s="338">
        <v>0</v>
      </c>
      <c r="P4" s="339"/>
      <c r="Q4" s="344">
        <f>SUM(B5:P5)</f>
        <v>0</v>
      </c>
      <c r="R4" s="357"/>
      <c r="S4" s="357"/>
      <c r="T4" s="342">
        <f>R4-S4</f>
        <v>0</v>
      </c>
      <c r="U4" s="342">
        <f>Q4*T4</f>
        <v>0</v>
      </c>
      <c r="V4" t="s">
        <v>218</v>
      </c>
      <c r="W4" s="204">
        <f>SUM(B5:G5)</f>
        <v>0</v>
      </c>
      <c r="X4" s="204">
        <f>N5</f>
        <v>0</v>
      </c>
      <c r="Y4" s="204">
        <f>W4*$T$4</f>
        <v>0</v>
      </c>
      <c r="Z4" s="204">
        <f>X4*$T$4</f>
        <v>0</v>
      </c>
      <c r="AA4" s="410"/>
      <c r="AB4" s="332" t="s">
        <v>119</v>
      </c>
      <c r="AC4" s="336" t="str">
        <f>B4</f>
        <v>無</v>
      </c>
      <c r="AD4" s="337"/>
      <c r="AE4" s="336" t="str">
        <f>D4</f>
        <v>無</v>
      </c>
      <c r="AF4" s="337"/>
      <c r="AG4" s="336" t="str">
        <f>F4</f>
        <v>無</v>
      </c>
      <c r="AH4" s="337"/>
      <c r="AI4" s="334">
        <v>0</v>
      </c>
      <c r="AJ4" s="335"/>
      <c r="AK4" s="334">
        <v>0</v>
      </c>
      <c r="AL4" s="335"/>
      <c r="AM4" s="334">
        <v>0</v>
      </c>
      <c r="AN4" s="335"/>
      <c r="AO4" s="299" t="str">
        <f>N4</f>
        <v>無</v>
      </c>
      <c r="AP4" s="334">
        <v>0</v>
      </c>
      <c r="AQ4" s="335"/>
      <c r="AR4" s="344">
        <f>SUM(AC5:AQ5)</f>
        <v>0</v>
      </c>
      <c r="AS4" s="404">
        <f>AR4*S4</f>
        <v>0</v>
      </c>
      <c r="AT4" s="404">
        <f>AR4*T4</f>
        <v>0</v>
      </c>
      <c r="AU4" s="400">
        <f>AR4*R4</f>
        <v>0</v>
      </c>
    </row>
    <row r="5" spans="1:47" ht="20.2" customHeight="1">
      <c r="A5" s="362"/>
      <c r="B5" s="216">
        <f>VLOOKUP($B$4,工作表2!$A$4:$BO$8,6,FALSE)</f>
        <v>0</v>
      </c>
      <c r="C5" s="216">
        <f>VLOOKUP($B$4,工作表2!$A$4:$BO$8,7,FALSE)</f>
        <v>0</v>
      </c>
      <c r="D5" s="216">
        <f>VLOOKUP($D$4,工作表2!$A$4:$BO$8,2,FALSE)</f>
        <v>0</v>
      </c>
      <c r="E5" s="216">
        <f>VLOOKUP($D$4,工作表2!$A$4:$BO$8,3,FALSE)</f>
        <v>0</v>
      </c>
      <c r="F5" s="216">
        <f>VLOOKUP($F$4,工作表2!$A$4:$BO$8,4,FALSE)</f>
        <v>0</v>
      </c>
      <c r="G5" s="216">
        <f>VLOOKUP($F$4,工作表2!$A$4:$BO$8,5,FALSE)</f>
        <v>0</v>
      </c>
      <c r="H5" s="338">
        <v>0</v>
      </c>
      <c r="I5" s="339"/>
      <c r="J5" s="338">
        <v>0</v>
      </c>
      <c r="K5" s="339"/>
      <c r="L5" s="338">
        <v>0</v>
      </c>
      <c r="M5" s="339"/>
      <c r="N5" s="216">
        <f>VLOOKUP($N$4,工作表2!$A$4:$BO$8,8,FALSE)</f>
        <v>0</v>
      </c>
      <c r="O5" s="338">
        <v>0</v>
      </c>
      <c r="P5" s="339"/>
      <c r="Q5" s="345">
        <f>SUM(D5:P5)</f>
        <v>0</v>
      </c>
      <c r="R5" s="358"/>
      <c r="S5" s="358"/>
      <c r="T5" s="343"/>
      <c r="U5" s="343"/>
      <c r="V5" t="s">
        <v>219</v>
      </c>
      <c r="W5" s="204">
        <f>SUM(B7:G7)</f>
        <v>0</v>
      </c>
      <c r="X5" s="204">
        <f>N7</f>
        <v>0</v>
      </c>
      <c r="Y5" s="204">
        <f>W5*$T$6</f>
        <v>0</v>
      </c>
      <c r="Z5" s="204">
        <f>X5*$T$6</f>
        <v>0</v>
      </c>
      <c r="AA5" s="410"/>
      <c r="AB5" s="333"/>
      <c r="AC5" s="74">
        <f>VLOOKUP($B$4,工作表2!$A$4:$DU$8,72,FALSE)</f>
        <v>0</v>
      </c>
      <c r="AD5" s="74">
        <f>VLOOKUP($B$4,工作表2!$A$4:$DU$8,73,FALSE)</f>
        <v>0</v>
      </c>
      <c r="AE5" s="74">
        <f>VLOOKUP($D$4,工作表2!$A$4:$DU$8,68,FALSE)</f>
        <v>0</v>
      </c>
      <c r="AF5" s="74">
        <f>VLOOKUP($D$4,工作表2!$A$4:$DU$8,69,FALSE)</f>
        <v>0</v>
      </c>
      <c r="AG5" s="74">
        <f>VLOOKUP($F$4,工作表2!$A$4:$DU$8,70,FALSE)</f>
        <v>0</v>
      </c>
      <c r="AH5" s="74">
        <f>VLOOKUP($F$4,工作表2!$A$4:$DU$8,71,FALSE)</f>
        <v>0</v>
      </c>
      <c r="AI5" s="334">
        <v>0</v>
      </c>
      <c r="AJ5" s="335"/>
      <c r="AK5" s="334">
        <v>0</v>
      </c>
      <c r="AL5" s="335"/>
      <c r="AM5" s="334">
        <v>0</v>
      </c>
      <c r="AN5" s="335"/>
      <c r="AO5" s="74">
        <f>VLOOKUP($N$4,工作表2!$A$4:$DU$8,74,FALSE)</f>
        <v>0</v>
      </c>
      <c r="AP5" s="334">
        <v>0</v>
      </c>
      <c r="AQ5" s="335"/>
      <c r="AR5" s="345">
        <f>SUM(AE5:AQ5)</f>
        <v>0</v>
      </c>
      <c r="AS5" s="405"/>
      <c r="AT5" s="405"/>
      <c r="AU5" s="401"/>
    </row>
    <row r="6" spans="1:47" ht="20.2" customHeight="1">
      <c r="A6" s="361" t="s">
        <v>120</v>
      </c>
      <c r="B6" s="340" t="s">
        <v>377</v>
      </c>
      <c r="C6" s="341"/>
      <c r="D6" s="340" t="s">
        <v>377</v>
      </c>
      <c r="E6" s="341"/>
      <c r="F6" s="340" t="s">
        <v>377</v>
      </c>
      <c r="G6" s="341"/>
      <c r="H6" s="338">
        <v>0</v>
      </c>
      <c r="I6" s="339"/>
      <c r="J6" s="338">
        <v>0</v>
      </c>
      <c r="K6" s="339"/>
      <c r="L6" s="338">
        <v>0</v>
      </c>
      <c r="M6" s="339"/>
      <c r="N6" s="72" t="s">
        <v>377</v>
      </c>
      <c r="O6" s="338">
        <v>0</v>
      </c>
      <c r="P6" s="339"/>
      <c r="Q6" s="344">
        <f>SUM(B7:P7)</f>
        <v>0</v>
      </c>
      <c r="R6" s="357"/>
      <c r="S6" s="357"/>
      <c r="T6" s="342">
        <f>R6-S6</f>
        <v>0</v>
      </c>
      <c r="U6" s="342">
        <f>Q6*T6</f>
        <v>0</v>
      </c>
      <c r="V6" t="s">
        <v>125</v>
      </c>
      <c r="W6" s="204">
        <f>SUM(D9:M9)</f>
        <v>0</v>
      </c>
      <c r="X6" s="204">
        <f>SUM(N9:P9)</f>
        <v>0</v>
      </c>
      <c r="Y6" s="204">
        <f>W6*$T$8</f>
        <v>0</v>
      </c>
      <c r="Z6" s="204">
        <f>X6*$T$8</f>
        <v>0</v>
      </c>
      <c r="AA6" s="410"/>
      <c r="AB6" s="378" t="s">
        <v>120</v>
      </c>
      <c r="AC6" s="336" t="str">
        <f>B6</f>
        <v>無</v>
      </c>
      <c r="AD6" s="337"/>
      <c r="AE6" s="336" t="str">
        <f>D6</f>
        <v>無</v>
      </c>
      <c r="AF6" s="337"/>
      <c r="AG6" s="336" t="str">
        <f>F6</f>
        <v>無</v>
      </c>
      <c r="AH6" s="337"/>
      <c r="AI6" s="334">
        <v>0</v>
      </c>
      <c r="AJ6" s="335"/>
      <c r="AK6" s="334">
        <v>0</v>
      </c>
      <c r="AL6" s="335"/>
      <c r="AM6" s="334">
        <v>0</v>
      </c>
      <c r="AN6" s="335"/>
      <c r="AO6" s="299" t="str">
        <f>N6</f>
        <v>無</v>
      </c>
      <c r="AP6" s="334">
        <v>0</v>
      </c>
      <c r="AQ6" s="335"/>
      <c r="AR6" s="344">
        <f>SUM(AC7:AQ7)</f>
        <v>0</v>
      </c>
      <c r="AS6" s="404">
        <f>AR6*S6</f>
        <v>0</v>
      </c>
      <c r="AT6" s="404">
        <f>AR6*T6</f>
        <v>0</v>
      </c>
      <c r="AU6" s="400">
        <f>AR6*R6</f>
        <v>0</v>
      </c>
    </row>
    <row r="7" spans="1:47" ht="20.2" customHeight="1">
      <c r="A7" s="362"/>
      <c r="B7" s="216">
        <f>VLOOKUP($B6,工作表2!$A$4:$BO$8,13,FALSE)</f>
        <v>0</v>
      </c>
      <c r="C7" s="216">
        <f>VLOOKUP($B6,工作表2!$A$4:$BO$8,14,FALSE)</f>
        <v>0</v>
      </c>
      <c r="D7" s="216">
        <f>VLOOKUP($D6,工作表2!$A$4:$BO$8,9,FALSE)</f>
        <v>0</v>
      </c>
      <c r="E7" s="216">
        <f>VLOOKUP($D6,工作表2!$A$4:$BO$8,10,FALSE)</f>
        <v>0</v>
      </c>
      <c r="F7" s="216">
        <f>VLOOKUP($F6,工作表2!$A$4:$BO$8,11,FALSE)</f>
        <v>0</v>
      </c>
      <c r="G7" s="216">
        <f>VLOOKUP($F6,工作表2!$A$4:$BO$8,12,FALSE)</f>
        <v>0</v>
      </c>
      <c r="H7" s="338">
        <v>0</v>
      </c>
      <c r="I7" s="339"/>
      <c r="J7" s="338">
        <v>0</v>
      </c>
      <c r="K7" s="339"/>
      <c r="L7" s="338">
        <v>0</v>
      </c>
      <c r="M7" s="339"/>
      <c r="N7" s="216">
        <f>VLOOKUP($N6,工作表2!$A$4:$BO$8,15,FALSE)</f>
        <v>0</v>
      </c>
      <c r="O7" s="338">
        <v>0</v>
      </c>
      <c r="P7" s="339"/>
      <c r="Q7" s="345">
        <f>SUM(D7:P7)</f>
        <v>0</v>
      </c>
      <c r="R7" s="358"/>
      <c r="S7" s="358"/>
      <c r="T7" s="343"/>
      <c r="U7" s="343"/>
      <c r="V7" t="s">
        <v>220</v>
      </c>
      <c r="W7" s="204">
        <f>SUM(D11:M11)</f>
        <v>0</v>
      </c>
      <c r="X7" s="204">
        <f>SUM(N11:P11)</f>
        <v>0</v>
      </c>
      <c r="Y7" s="204">
        <f>W7*$T$10</f>
        <v>0</v>
      </c>
      <c r="Z7" s="204">
        <f>X7*$T$10</f>
        <v>0</v>
      </c>
      <c r="AA7" s="410"/>
      <c r="AB7" s="379"/>
      <c r="AC7" s="74">
        <f>VLOOKUP($B6,工作表2!$A$4:$DU$8,79,FALSE)</f>
        <v>0</v>
      </c>
      <c r="AD7" s="74">
        <f>VLOOKUP($B6,工作表2!$A$4:$DU$8,80,FALSE)</f>
        <v>0</v>
      </c>
      <c r="AE7" s="74">
        <f>VLOOKUP($D6,工作表2!$A$4:$DU$8,75,FALSE)</f>
        <v>0</v>
      </c>
      <c r="AF7" s="74">
        <f>VLOOKUP($D6,工作表2!$A$4:$DU$8,76,FALSE)</f>
        <v>0</v>
      </c>
      <c r="AG7" s="74">
        <f>VLOOKUP($F6,工作表2!$A$4:$DU$8,77,FALSE)</f>
        <v>0</v>
      </c>
      <c r="AH7" s="74">
        <f>VLOOKUP($F6,工作表2!$A$4:$DU$8,78,FALSE)</f>
        <v>0</v>
      </c>
      <c r="AI7" s="334">
        <v>0</v>
      </c>
      <c r="AJ7" s="335"/>
      <c r="AK7" s="334">
        <v>0</v>
      </c>
      <c r="AL7" s="335"/>
      <c r="AM7" s="334">
        <v>0</v>
      </c>
      <c r="AN7" s="335"/>
      <c r="AO7" s="74">
        <f>VLOOKUP($N6,工作表2!$A$4:$DU$8,81,FALSE)</f>
        <v>0</v>
      </c>
      <c r="AP7" s="334">
        <v>0</v>
      </c>
      <c r="AQ7" s="335"/>
      <c r="AR7" s="345">
        <f>SUM(AE7:AQ7)</f>
        <v>0</v>
      </c>
      <c r="AS7" s="405"/>
      <c r="AT7" s="405"/>
      <c r="AU7" s="401"/>
    </row>
    <row r="8" spans="1:47" ht="20.2" customHeight="1">
      <c r="A8" s="359" t="s">
        <v>121</v>
      </c>
      <c r="B8" s="338">
        <v>0</v>
      </c>
      <c r="C8" s="339"/>
      <c r="D8" s="340" t="s">
        <v>377</v>
      </c>
      <c r="E8" s="341"/>
      <c r="F8" s="340" t="s">
        <v>377</v>
      </c>
      <c r="G8" s="341"/>
      <c r="H8" s="340" t="s">
        <v>377</v>
      </c>
      <c r="I8" s="341"/>
      <c r="J8" s="340" t="s">
        <v>377</v>
      </c>
      <c r="K8" s="341"/>
      <c r="L8" s="355" t="s">
        <v>376</v>
      </c>
      <c r="M8" s="356"/>
      <c r="N8" s="72" t="s">
        <v>378</v>
      </c>
      <c r="O8" s="72" t="s">
        <v>377</v>
      </c>
      <c r="P8" s="72" t="s">
        <v>377</v>
      </c>
      <c r="Q8" s="344">
        <f>SUM(B9:P9)</f>
        <v>0</v>
      </c>
      <c r="R8" s="357"/>
      <c r="S8" s="357"/>
      <c r="T8" s="342">
        <f>R8-S8</f>
        <v>0</v>
      </c>
      <c r="U8" s="342">
        <f>Q8*T8</f>
        <v>0</v>
      </c>
      <c r="V8" t="s">
        <v>126</v>
      </c>
      <c r="W8" s="204">
        <f>SUM(D13:M13)</f>
        <v>0</v>
      </c>
      <c r="X8" s="204">
        <f>SUM(N13:P13)</f>
        <v>0</v>
      </c>
      <c r="Y8" s="204">
        <f>W8*$T$12</f>
        <v>0</v>
      </c>
      <c r="Z8" s="204">
        <f>X8*$T$12</f>
        <v>0</v>
      </c>
      <c r="AA8" s="410"/>
      <c r="AB8" s="332" t="s">
        <v>121</v>
      </c>
      <c r="AC8" s="334">
        <v>0</v>
      </c>
      <c r="AD8" s="335"/>
      <c r="AE8" s="336" t="str">
        <f>D8</f>
        <v>無</v>
      </c>
      <c r="AF8" s="337"/>
      <c r="AG8" s="336" t="str">
        <f>F8</f>
        <v>無</v>
      </c>
      <c r="AH8" s="337"/>
      <c r="AI8" s="336" t="str">
        <f>H8</f>
        <v>無</v>
      </c>
      <c r="AJ8" s="337"/>
      <c r="AK8" s="336" t="str">
        <f>J8</f>
        <v>無</v>
      </c>
      <c r="AL8" s="337"/>
      <c r="AM8" s="373" t="str">
        <f>L8</f>
        <v>無</v>
      </c>
      <c r="AN8" s="374"/>
      <c r="AO8" s="299" t="str">
        <f>N8</f>
        <v>無</v>
      </c>
      <c r="AP8" s="299" t="str">
        <f>O8</f>
        <v>無</v>
      </c>
      <c r="AQ8" s="299" t="str">
        <f>P8</f>
        <v>無</v>
      </c>
      <c r="AR8" s="344">
        <f>SUM(AC9:AQ9)</f>
        <v>0</v>
      </c>
      <c r="AS8" s="404">
        <f>AR8*S8</f>
        <v>0</v>
      </c>
      <c r="AT8" s="404">
        <f>AR8*T8</f>
        <v>0</v>
      </c>
      <c r="AU8" s="400">
        <f>AR8*R8</f>
        <v>0</v>
      </c>
    </row>
    <row r="9" spans="1:47" ht="20.2" customHeight="1">
      <c r="A9" s="360"/>
      <c r="B9" s="338">
        <v>0</v>
      </c>
      <c r="C9" s="339"/>
      <c r="D9" s="216">
        <f>VLOOKUP($D8,工作表2!$A$4:$BO$8,19,FALSE)</f>
        <v>0</v>
      </c>
      <c r="E9" s="216">
        <f>VLOOKUP($D8,工作表2!$A$4:$BO$8,20,FALSE)</f>
        <v>0</v>
      </c>
      <c r="F9" s="216">
        <f>VLOOKUP($F8,工作表2!$A$4:$BO$8,21,FALSE)</f>
        <v>0</v>
      </c>
      <c r="G9" s="216">
        <f>VLOOKUP($F8,工作表2!$A$4:$BO$8,22,FALSE)</f>
        <v>0</v>
      </c>
      <c r="H9" s="216">
        <f>VLOOKUP($H8,工作表2!$A$4:$BO$8,23,FALSE)</f>
        <v>0</v>
      </c>
      <c r="I9" s="216">
        <f>VLOOKUP($H8,工作表2!$A$4:$BO$8,24,FALSE)</f>
        <v>0</v>
      </c>
      <c r="J9" s="216">
        <f>VLOOKUP($J8,工作表2!$A$4:$BO$8,16,FALSE)</f>
        <v>0</v>
      </c>
      <c r="K9" s="216">
        <f>VLOOKUP($J8,工作表2!$A$4:$BO$8,17,FALSE)</f>
        <v>0</v>
      </c>
      <c r="L9" s="217">
        <f>VLOOKUP($L8,工作表2!$DW$4:$DY$7,2,FALSE)</f>
        <v>0</v>
      </c>
      <c r="M9" s="217">
        <f>VLOOKUP($L8,工作表2!$DW$4:$DY$7,3,FALSE)</f>
        <v>0</v>
      </c>
      <c r="N9" s="216">
        <f>VLOOKUP($N8,工作表2!$A$4:$BO$8,25,FALSE)</f>
        <v>0</v>
      </c>
      <c r="O9" s="216">
        <f>VLOOKUP($O8,工作表2!$A$4:$BO$8,18,FALSE)</f>
        <v>0</v>
      </c>
      <c r="P9" s="216">
        <f>VLOOKUP($P8,工作表2!$A$4:$BO$8,26,FALSE)</f>
        <v>0</v>
      </c>
      <c r="Q9" s="345">
        <f>SUM(D9:P9)</f>
        <v>0</v>
      </c>
      <c r="R9" s="358"/>
      <c r="S9" s="358"/>
      <c r="T9" s="343"/>
      <c r="U9" s="343"/>
      <c r="V9" t="s">
        <v>127</v>
      </c>
      <c r="W9" s="204">
        <f>SUM(D15:M15)</f>
        <v>0</v>
      </c>
      <c r="X9" s="204">
        <f>SUM(N15:P15)</f>
        <v>0</v>
      </c>
      <c r="Y9" s="204">
        <f>W9*$T$14</f>
        <v>0</v>
      </c>
      <c r="Z9" s="204">
        <f>X9*$T$14</f>
        <v>0</v>
      </c>
      <c r="AA9" s="410"/>
      <c r="AB9" s="333"/>
      <c r="AC9" s="334">
        <v>0</v>
      </c>
      <c r="AD9" s="335"/>
      <c r="AE9" s="74">
        <f>VLOOKUP($D8,工作表2!$A$4:$DU$8,85,FALSE)</f>
        <v>0</v>
      </c>
      <c r="AF9" s="74">
        <f>VLOOKUP($D8,工作表2!$A$4:$DU$8,86,FALSE)</f>
        <v>0</v>
      </c>
      <c r="AG9" s="74">
        <f>VLOOKUP($F8,工作表2!$A$4:$DU$8,87,FALSE)</f>
        <v>0</v>
      </c>
      <c r="AH9" s="74">
        <f>VLOOKUP($F8,工作表2!$A$4:$DU$8,88,FALSE)</f>
        <v>0</v>
      </c>
      <c r="AI9" s="74">
        <f>VLOOKUP($H8,工作表2!$A$4:$DU$8,89,FALSE)</f>
        <v>0</v>
      </c>
      <c r="AJ9" s="74">
        <f>VLOOKUP($H8,工作表2!$A$4:$DU$8,90,FALSE)</f>
        <v>0</v>
      </c>
      <c r="AK9" s="74">
        <f>VLOOKUP($J8,工作表2!$A$4:$DU$8,82,FALSE)</f>
        <v>0</v>
      </c>
      <c r="AL9" s="74">
        <f>VLOOKUP($J8,工作表2!$A$4:$DU$8,83,FALSE)</f>
        <v>0</v>
      </c>
      <c r="AM9" s="75">
        <f>VLOOKUP($L8,工作表2!$DW$4:$EA$7,4,FALSE)</f>
        <v>0</v>
      </c>
      <c r="AN9" s="75">
        <f>VLOOKUP($L8,工作表2!$DW$4:$EA$7,5,FALSE)</f>
        <v>0</v>
      </c>
      <c r="AO9" s="74">
        <f>VLOOKUP($N8,工作表2!$A$4:$DU$8,91,FALSE)</f>
        <v>0</v>
      </c>
      <c r="AP9" s="74">
        <f>VLOOKUP($O8,工作表2!$A$4:$DU$8,84,FALSE)</f>
        <v>0</v>
      </c>
      <c r="AQ9" s="74">
        <f>VLOOKUP($P8,工作表2!$A$4:$DU$8,92,FALSE)</f>
        <v>0</v>
      </c>
      <c r="AR9" s="345">
        <f>SUM(AE9:AQ9)</f>
        <v>0</v>
      </c>
      <c r="AS9" s="405"/>
      <c r="AT9" s="405"/>
      <c r="AU9" s="401"/>
    </row>
    <row r="10" spans="1:47" ht="20.2" customHeight="1">
      <c r="A10" s="359" t="s">
        <v>122</v>
      </c>
      <c r="B10" s="338">
        <v>0</v>
      </c>
      <c r="C10" s="339"/>
      <c r="D10" s="340" t="s">
        <v>377</v>
      </c>
      <c r="E10" s="341"/>
      <c r="F10" s="340" t="s">
        <v>377</v>
      </c>
      <c r="G10" s="341"/>
      <c r="H10" s="340" t="s">
        <v>377</v>
      </c>
      <c r="I10" s="341"/>
      <c r="J10" s="340" t="s">
        <v>377</v>
      </c>
      <c r="K10" s="341"/>
      <c r="L10" s="355" t="s">
        <v>376</v>
      </c>
      <c r="M10" s="356"/>
      <c r="N10" s="72" t="s">
        <v>377</v>
      </c>
      <c r="O10" s="72" t="s">
        <v>377</v>
      </c>
      <c r="P10" s="72" t="s">
        <v>377</v>
      </c>
      <c r="Q10" s="344">
        <f>SUM(B11:P11)</f>
        <v>0</v>
      </c>
      <c r="R10" s="357"/>
      <c r="S10" s="357"/>
      <c r="T10" s="342">
        <f>R10-S10</f>
        <v>0</v>
      </c>
      <c r="U10" s="342">
        <f>Q10*T10</f>
        <v>0</v>
      </c>
      <c r="Y10" s="204">
        <f>SUM(Y4:Y9)</f>
        <v>0</v>
      </c>
      <c r="Z10" s="204">
        <f>SUM(Z4:Z9)</f>
        <v>0</v>
      </c>
      <c r="AA10" s="410"/>
      <c r="AB10" s="332" t="s">
        <v>122</v>
      </c>
      <c r="AC10" s="334">
        <v>0</v>
      </c>
      <c r="AD10" s="335"/>
      <c r="AE10" s="336" t="str">
        <f>D10</f>
        <v>無</v>
      </c>
      <c r="AF10" s="337"/>
      <c r="AG10" s="336" t="str">
        <f>F10</f>
        <v>無</v>
      </c>
      <c r="AH10" s="337"/>
      <c r="AI10" s="336" t="str">
        <f>H10</f>
        <v>無</v>
      </c>
      <c r="AJ10" s="337"/>
      <c r="AK10" s="336" t="str">
        <f>J10</f>
        <v>無</v>
      </c>
      <c r="AL10" s="337"/>
      <c r="AM10" s="373" t="str">
        <f>L10</f>
        <v>無</v>
      </c>
      <c r="AN10" s="374"/>
      <c r="AO10" s="299" t="str">
        <f>N10</f>
        <v>無</v>
      </c>
      <c r="AP10" s="299" t="str">
        <f>O10</f>
        <v>無</v>
      </c>
      <c r="AQ10" s="299" t="str">
        <f>P10</f>
        <v>無</v>
      </c>
      <c r="AR10" s="344">
        <f>SUM(AC11:AQ11)</f>
        <v>0</v>
      </c>
      <c r="AS10" s="404">
        <f>AR10*S10</f>
        <v>0</v>
      </c>
      <c r="AT10" s="404">
        <f>AR10*T10</f>
        <v>0</v>
      </c>
      <c r="AU10" s="400">
        <f>AR10*R10</f>
        <v>0</v>
      </c>
    </row>
    <row r="11" spans="1:47" ht="20.2" customHeight="1">
      <c r="A11" s="360"/>
      <c r="B11" s="338">
        <v>0</v>
      </c>
      <c r="C11" s="339"/>
      <c r="D11" s="216">
        <f>VLOOKUP($D10,工作表2!$A$4:$BO$8,27,FALSE)</f>
        <v>0</v>
      </c>
      <c r="E11" s="216">
        <f>VLOOKUP($D10,工作表2!$A$4:$BO$8,28,FALSE)</f>
        <v>0</v>
      </c>
      <c r="F11" s="216">
        <f>VLOOKUP($F10,工作表2!$A$4:$BO$8,29,FALSE)</f>
        <v>0</v>
      </c>
      <c r="G11" s="216">
        <f>VLOOKUP($F10,工作表2!$A$4:$BO$8,30,FALSE)</f>
        <v>0</v>
      </c>
      <c r="H11" s="216">
        <f>VLOOKUP($H10,工作表2!$A$4:$BO$8,33,FALSE)</f>
        <v>0</v>
      </c>
      <c r="I11" s="216">
        <f>VLOOKUP($H10,工作表2!$A$4:$BO$8,34,FALSE)</f>
        <v>0</v>
      </c>
      <c r="J11" s="216">
        <f>VLOOKUP($J10,工作表2!$A$4:$BO$8,35,FALSE)</f>
        <v>0</v>
      </c>
      <c r="K11" s="216">
        <f>VLOOKUP($J10,工作表2!$A$4:$BO$8,36,FALSE)</f>
        <v>0</v>
      </c>
      <c r="L11" s="217">
        <f>VLOOKUP($L10,工作表2!$EB$4:$EF$9,2,FALSE)</f>
        <v>0</v>
      </c>
      <c r="M11" s="217">
        <f>VLOOKUP($L10,工作表2!$EB$4:$EF$9,3,FALSE)</f>
        <v>0</v>
      </c>
      <c r="N11" s="216">
        <f>VLOOKUP($N10,工作表2!$A$4:$BO$8,37,FALSE)</f>
        <v>0</v>
      </c>
      <c r="O11" s="216">
        <f>VLOOKUP($O10,工作表2!$A$4:$BO$8,38,FALSE)</f>
        <v>0</v>
      </c>
      <c r="P11" s="216">
        <f>VLOOKUP($P10,工作表2!$A$4:$BO$8,39,FALSE)</f>
        <v>0</v>
      </c>
      <c r="Q11" s="345">
        <f>SUM(D11:P11)</f>
        <v>0</v>
      </c>
      <c r="R11" s="358"/>
      <c r="S11" s="358"/>
      <c r="T11" s="343"/>
      <c r="U11" s="343"/>
      <c r="AA11" s="410"/>
      <c r="AB11" s="333"/>
      <c r="AC11" s="334">
        <v>0</v>
      </c>
      <c r="AD11" s="335"/>
      <c r="AE11" s="74">
        <f>VLOOKUP($D10,工作表2!$A$4:$DU$8,93,FALSE)</f>
        <v>0</v>
      </c>
      <c r="AF11" s="74">
        <f>VLOOKUP($D10,工作表2!$A$4:$DU$8,94,FALSE)</f>
        <v>0</v>
      </c>
      <c r="AG11" s="74">
        <f>VLOOKUP($F10,工作表2!$A$4:$DU$8,95,FALSE)</f>
        <v>0</v>
      </c>
      <c r="AH11" s="74">
        <f>VLOOKUP($F10,工作表2!$A$4:$DU$8,96,FALSE)</f>
        <v>0</v>
      </c>
      <c r="AI11" s="74">
        <f>VLOOKUP($H10,工作表2!$A$4:$DU$8,97,FALSE)</f>
        <v>0</v>
      </c>
      <c r="AJ11" s="74">
        <f>VLOOKUP($H10,工作表2!$A$4:$DU$8,98,FALSE)</f>
        <v>0</v>
      </c>
      <c r="AK11" s="74">
        <f>VLOOKUP($J10,工作表2!$A$4:$DU$8,99,FALSE)</f>
        <v>0</v>
      </c>
      <c r="AL11" s="74">
        <f>VLOOKUP($J10,工作表2!$A$4:$DU$8,100,FALSE)</f>
        <v>0</v>
      </c>
      <c r="AM11" s="75">
        <f>VLOOKUP($L10,工作表2!$EB$4:$EJ$9,6,FALSE)</f>
        <v>0</v>
      </c>
      <c r="AN11" s="75">
        <f>VLOOKUP($L10,工作表2!$EB$4:$EJ$9,7,FALSE)</f>
        <v>0</v>
      </c>
      <c r="AO11" s="74">
        <f>VLOOKUP($N10,工作表2!$A$4:$DU$8,101,FALSE)</f>
        <v>0</v>
      </c>
      <c r="AP11" s="74">
        <f>VLOOKUP($O10,工作表2!$A$4:$DU$8,102,FALSE)</f>
        <v>0</v>
      </c>
      <c r="AQ11" s="74">
        <f>VLOOKUP($P10,工作表2!$A$4:$DU$8,103,FALSE)</f>
        <v>0</v>
      </c>
      <c r="AR11" s="345">
        <f>SUM(AE11:AQ11)</f>
        <v>0</v>
      </c>
      <c r="AS11" s="405"/>
      <c r="AT11" s="405"/>
      <c r="AU11" s="401"/>
    </row>
    <row r="12" spans="1:47" ht="20.2" customHeight="1">
      <c r="A12" s="361" t="s">
        <v>123</v>
      </c>
      <c r="B12" s="338">
        <v>0</v>
      </c>
      <c r="C12" s="339"/>
      <c r="D12" s="340" t="s">
        <v>377</v>
      </c>
      <c r="E12" s="341"/>
      <c r="F12" s="340" t="s">
        <v>377</v>
      </c>
      <c r="G12" s="341"/>
      <c r="H12" s="340" t="s">
        <v>377</v>
      </c>
      <c r="I12" s="341"/>
      <c r="J12" s="340" t="s">
        <v>377</v>
      </c>
      <c r="K12" s="341"/>
      <c r="L12" s="355" t="s">
        <v>376</v>
      </c>
      <c r="M12" s="356"/>
      <c r="N12" s="72" t="s">
        <v>377</v>
      </c>
      <c r="O12" s="72" t="s">
        <v>377</v>
      </c>
      <c r="P12" s="72" t="s">
        <v>377</v>
      </c>
      <c r="Q12" s="344">
        <f>SUM(B13:P13)</f>
        <v>0</v>
      </c>
      <c r="R12" s="357"/>
      <c r="S12" s="357"/>
      <c r="T12" s="342">
        <f>R12-S12</f>
        <v>0</v>
      </c>
      <c r="U12" s="342">
        <f>Q12*T12</f>
        <v>0</v>
      </c>
      <c r="AA12" s="410"/>
      <c r="AB12" s="378" t="s">
        <v>123</v>
      </c>
      <c r="AC12" s="334">
        <v>0</v>
      </c>
      <c r="AD12" s="335"/>
      <c r="AE12" s="336" t="str">
        <f>D12</f>
        <v>無</v>
      </c>
      <c r="AF12" s="337"/>
      <c r="AG12" s="336" t="str">
        <f>F12</f>
        <v>無</v>
      </c>
      <c r="AH12" s="337"/>
      <c r="AI12" s="336" t="str">
        <f>H12</f>
        <v>無</v>
      </c>
      <c r="AJ12" s="337"/>
      <c r="AK12" s="336" t="str">
        <f>J12</f>
        <v>無</v>
      </c>
      <c r="AL12" s="337"/>
      <c r="AM12" s="373" t="str">
        <f>L12</f>
        <v>無</v>
      </c>
      <c r="AN12" s="374"/>
      <c r="AO12" s="299" t="str">
        <f>N12</f>
        <v>無</v>
      </c>
      <c r="AP12" s="299" t="str">
        <f>O12</f>
        <v>無</v>
      </c>
      <c r="AQ12" s="299" t="str">
        <f>P12</f>
        <v>無</v>
      </c>
      <c r="AR12" s="344">
        <f>SUM(AC13:AQ13)</f>
        <v>0</v>
      </c>
      <c r="AS12" s="404">
        <f>AR12*S12</f>
        <v>0</v>
      </c>
      <c r="AT12" s="404">
        <f>AR12*T12</f>
        <v>0</v>
      </c>
      <c r="AU12" s="400">
        <f>AR12*R12</f>
        <v>0</v>
      </c>
    </row>
    <row r="13" spans="1:47" ht="20.2" customHeight="1">
      <c r="A13" s="362"/>
      <c r="B13" s="338">
        <v>0</v>
      </c>
      <c r="C13" s="339"/>
      <c r="D13" s="216">
        <f>VLOOKUP($D12,工作表2!$A$4:$BO$8,40,FALSE)</f>
        <v>0</v>
      </c>
      <c r="E13" s="216">
        <f>VLOOKUP($D12,工作表2!$A$4:$BO$8,41,FALSE)</f>
        <v>0</v>
      </c>
      <c r="F13" s="216">
        <f>VLOOKUP($F12,工作表2!$A$4:$BO$8,42,FALSE)</f>
        <v>0</v>
      </c>
      <c r="G13" s="216">
        <f>VLOOKUP($F12,工作表2!$A$4:$BO$8,43,FALSE)</f>
        <v>0</v>
      </c>
      <c r="H13" s="216">
        <f>VLOOKUP($H12,工作表2!$A$4:$BO$8,46,FALSE)</f>
        <v>0</v>
      </c>
      <c r="I13" s="216">
        <f>VLOOKUP($H12,工作表2!$A$4:$BO$8,47,FALSE)</f>
        <v>0</v>
      </c>
      <c r="J13" s="216">
        <f>VLOOKUP($J12,工作表2!$A$4:$BO$8,50,FALSE)</f>
        <v>0</v>
      </c>
      <c r="K13" s="216">
        <f>VLOOKUP($J12,工作表2!$A$4:$BO$8,51,FALSE)</f>
        <v>0</v>
      </c>
      <c r="L13" s="217">
        <f>VLOOKUP($L12,工作表2!$EB$4:$EF$9,4,FALSE)</f>
        <v>0</v>
      </c>
      <c r="M13" s="217">
        <f>VLOOKUP($L12,工作表2!$EB$4:$EF$9,5,FALSE)</f>
        <v>0</v>
      </c>
      <c r="N13" s="216">
        <f>VLOOKUP($N12,工作表2!$A$4:$BO$8,52,FALSE)</f>
        <v>0</v>
      </c>
      <c r="O13" s="216">
        <f>VLOOKUP($O12,工作表2!$A$4:$BO$8,53,FALSE)</f>
        <v>0</v>
      </c>
      <c r="P13" s="216">
        <f>VLOOKUP($P12,工作表2!$A$4:$BO$8,54,FALSE)</f>
        <v>0</v>
      </c>
      <c r="Q13" s="345">
        <f>SUM(D13:P13)</f>
        <v>0</v>
      </c>
      <c r="R13" s="358"/>
      <c r="S13" s="358"/>
      <c r="T13" s="343"/>
      <c r="U13" s="343"/>
      <c r="AA13" s="410"/>
      <c r="AB13" s="379"/>
      <c r="AC13" s="334">
        <v>0</v>
      </c>
      <c r="AD13" s="335"/>
      <c r="AE13" s="74">
        <f>VLOOKUP($D12,工作表2!$A$4:$DU$8,104,FALSE)</f>
        <v>0</v>
      </c>
      <c r="AF13" s="74">
        <f>VLOOKUP($D12,工作表2!$A$4:$DU$8,105,FALSE)</f>
        <v>0</v>
      </c>
      <c r="AG13" s="74">
        <f>VLOOKUP($F12,工作表2!$A$4:$DU$8,106,FALSE)</f>
        <v>0</v>
      </c>
      <c r="AH13" s="74">
        <f>VLOOKUP($F12,工作表2!$A$4:$DU$8,107,FALSE)</f>
        <v>0</v>
      </c>
      <c r="AI13" s="74">
        <f>VLOOKUP($H12,工作表2!$A$4:$DU$8,108,FALSE)</f>
        <v>0</v>
      </c>
      <c r="AJ13" s="74">
        <f>VLOOKUP($H12,工作表2!$A$4:$DU$8,109,FALSE)</f>
        <v>0</v>
      </c>
      <c r="AK13" s="74">
        <f>VLOOKUP($J12,工作表2!$A$4:$DU$8,110,FALSE)</f>
        <v>0</v>
      </c>
      <c r="AL13" s="74">
        <f>VLOOKUP($J12,工作表2!$A$4:$DU$8,111,FALSE)</f>
        <v>0</v>
      </c>
      <c r="AM13" s="75">
        <f>VLOOKUP($L12,工作表2!$EB$4:$EJ$9,8,FALSE)</f>
        <v>0</v>
      </c>
      <c r="AN13" s="75">
        <f>VLOOKUP($L12,工作表2!$EB$4:$EJ$9,9,FALSE)</f>
        <v>0</v>
      </c>
      <c r="AO13" s="74">
        <f>VLOOKUP($N12,工作表2!$A$4:$DU$8,112,FALSE)</f>
        <v>0</v>
      </c>
      <c r="AP13" s="74">
        <f>VLOOKUP($O12,工作表2!$A$4:$DU$8,113,FALSE)</f>
        <v>0</v>
      </c>
      <c r="AQ13" s="74">
        <f>VLOOKUP($P12,工作表2!$A$4:$DU$8,114,FALSE)</f>
        <v>0</v>
      </c>
      <c r="AR13" s="345">
        <f>SUM(AE13:AQ13)</f>
        <v>0</v>
      </c>
      <c r="AS13" s="405"/>
      <c r="AT13" s="405"/>
      <c r="AU13" s="401"/>
    </row>
    <row r="14" spans="1:47" ht="20.2" customHeight="1">
      <c r="A14" s="359" t="s">
        <v>124</v>
      </c>
      <c r="B14" s="338">
        <v>0</v>
      </c>
      <c r="C14" s="339"/>
      <c r="D14" s="340" t="s">
        <v>377</v>
      </c>
      <c r="E14" s="341"/>
      <c r="F14" s="340" t="s">
        <v>377</v>
      </c>
      <c r="G14" s="341"/>
      <c r="H14" s="340" t="s">
        <v>377</v>
      </c>
      <c r="I14" s="341"/>
      <c r="J14" s="340" t="s">
        <v>377</v>
      </c>
      <c r="K14" s="341"/>
      <c r="L14" s="355" t="s">
        <v>376</v>
      </c>
      <c r="M14" s="356"/>
      <c r="N14" s="72" t="s">
        <v>377</v>
      </c>
      <c r="O14" s="72" t="s">
        <v>377</v>
      </c>
      <c r="P14" s="72" t="s">
        <v>377</v>
      </c>
      <c r="Q14" s="344">
        <f>SUM(B15:P15)</f>
        <v>0</v>
      </c>
      <c r="R14" s="357"/>
      <c r="S14" s="357"/>
      <c r="T14" s="342">
        <f>R14-S14</f>
        <v>0</v>
      </c>
      <c r="U14" s="342">
        <f>Q14*T14</f>
        <v>0</v>
      </c>
      <c r="AA14" s="410"/>
      <c r="AB14" s="332" t="s">
        <v>124</v>
      </c>
      <c r="AC14" s="334">
        <v>0</v>
      </c>
      <c r="AD14" s="335"/>
      <c r="AE14" s="336" t="str">
        <f>D14</f>
        <v>無</v>
      </c>
      <c r="AF14" s="337"/>
      <c r="AG14" s="336" t="str">
        <f>F14</f>
        <v>無</v>
      </c>
      <c r="AH14" s="337"/>
      <c r="AI14" s="336" t="str">
        <f>H14</f>
        <v>無</v>
      </c>
      <c r="AJ14" s="337"/>
      <c r="AK14" s="336" t="str">
        <f>J14</f>
        <v>無</v>
      </c>
      <c r="AL14" s="337"/>
      <c r="AM14" s="373" t="str">
        <f>L14</f>
        <v>無</v>
      </c>
      <c r="AN14" s="374"/>
      <c r="AO14" s="299" t="str">
        <f>N14</f>
        <v>無</v>
      </c>
      <c r="AP14" s="299" t="str">
        <f>O14</f>
        <v>無</v>
      </c>
      <c r="AQ14" s="299" t="str">
        <f>P14</f>
        <v>無</v>
      </c>
      <c r="AR14" s="344">
        <f>SUM(AC15:AQ15)</f>
        <v>0</v>
      </c>
      <c r="AS14" s="404">
        <f>AR14*S14</f>
        <v>0</v>
      </c>
      <c r="AT14" s="404">
        <f>AR14*T14</f>
        <v>0</v>
      </c>
      <c r="AU14" s="400">
        <f>AR14*R14</f>
        <v>0</v>
      </c>
    </row>
    <row r="15" spans="1:47" ht="20.2" customHeight="1">
      <c r="A15" s="360"/>
      <c r="B15" s="338">
        <v>0</v>
      </c>
      <c r="C15" s="339"/>
      <c r="D15" s="216">
        <f>VLOOKUP($D14,工作表2!$A$4:$BO$8,55,FALSE)</f>
        <v>0</v>
      </c>
      <c r="E15" s="216">
        <f>VLOOKUP($D14,工作表2!$A$4:$BO$8,56,FALSE)</f>
        <v>0</v>
      </c>
      <c r="F15" s="216">
        <f>VLOOKUP($F14,工作表2!$A$4:$BO$8,57,FALSE)</f>
        <v>0</v>
      </c>
      <c r="G15" s="216">
        <f>VLOOKUP($F14,工作表2!$A$4:$BO$8,58,FALSE)</f>
        <v>0</v>
      </c>
      <c r="H15" s="216">
        <f>VLOOKUP($H14,工作表2!$A$4:$BO$8,61,FALSE)</f>
        <v>0</v>
      </c>
      <c r="I15" s="216">
        <f>VLOOKUP($H14,工作表2!$A$4:$BO$8,62,FALSE)</f>
        <v>0</v>
      </c>
      <c r="J15" s="216">
        <f>VLOOKUP($J14,工作表2!$A$4:$BO$8,63,FALSE)</f>
        <v>0</v>
      </c>
      <c r="K15" s="216">
        <f>VLOOKUP($J14,工作表2!$A$4:$BO$8,64,FALSE)</f>
        <v>0</v>
      </c>
      <c r="L15" s="217">
        <f>VLOOKUP($L14,工作表2!$EK$4:$EM$10,2,FALSE)</f>
        <v>0</v>
      </c>
      <c r="M15" s="217">
        <f>VLOOKUP($L14,工作表2!$EK$4:$EM$10,3,FALSE)</f>
        <v>0</v>
      </c>
      <c r="N15" s="216">
        <f>VLOOKUP($N14,工作表2!$A$4:$BO$8,65,FALSE)</f>
        <v>0</v>
      </c>
      <c r="O15" s="216">
        <f>VLOOKUP($O14,工作表2!$A$4:$BO$8,66,FALSE)</f>
        <v>0</v>
      </c>
      <c r="P15" s="216">
        <f>VLOOKUP($P14,工作表2!$A$4:$BO$8,67,FALSE)</f>
        <v>0</v>
      </c>
      <c r="Q15" s="345">
        <f>SUM(D15:P15)</f>
        <v>0</v>
      </c>
      <c r="R15" s="358"/>
      <c r="S15" s="358"/>
      <c r="T15" s="343"/>
      <c r="U15" s="343"/>
      <c r="AA15" s="410"/>
      <c r="AB15" s="333"/>
      <c r="AC15" s="334">
        <v>0</v>
      </c>
      <c r="AD15" s="335"/>
      <c r="AE15" s="74">
        <f>VLOOKUP($D14,工作表2!$A$4:$DU$8,115,FALSE)</f>
        <v>0</v>
      </c>
      <c r="AF15" s="74">
        <f>VLOOKUP($D14,工作表2!$A$4:$DU$8,116,FALSE)</f>
        <v>0</v>
      </c>
      <c r="AG15" s="74">
        <f>VLOOKUP($F14,工作表2!$A$4:$DU$8,117,FALSE)</f>
        <v>0</v>
      </c>
      <c r="AH15" s="74">
        <f>VLOOKUP($F14,工作表2!$A$4:$DU$8,118,FALSE)</f>
        <v>0</v>
      </c>
      <c r="AI15" s="74">
        <f>VLOOKUP($H14,工作表2!$A$4:$DU$8,119,FALSE)</f>
        <v>0</v>
      </c>
      <c r="AJ15" s="74">
        <f>VLOOKUP($H14,工作表2!$A$4:$DU$8,120,FALSE)</f>
        <v>0</v>
      </c>
      <c r="AK15" s="74">
        <f>VLOOKUP($J14,工作表2!$A$4:$DU$8,121,FALSE)</f>
        <v>0</v>
      </c>
      <c r="AL15" s="74">
        <f>VLOOKUP($J14,工作表2!$A$4:$DU$8,122,FALSE)</f>
        <v>0</v>
      </c>
      <c r="AM15" s="75">
        <f>VLOOKUP($L14,工作表2!$EK$4:$EO$10,4,FALSE)</f>
        <v>0</v>
      </c>
      <c r="AN15" s="75">
        <f>VLOOKUP($L14,工作表2!$EK$4:$EO$10,5,FALSE)</f>
        <v>0</v>
      </c>
      <c r="AO15" s="74">
        <f>VLOOKUP($N14,工作表2!$A$4:$DU$8,123,FALSE)</f>
        <v>0</v>
      </c>
      <c r="AP15" s="74">
        <f>VLOOKUP($O14,工作表2!$A$4:$DU$8,124,FALSE)</f>
        <v>0</v>
      </c>
      <c r="AQ15" s="74">
        <f>VLOOKUP($P14,工作表2!$A$4:$DU$8,125,FALSE)</f>
        <v>0</v>
      </c>
      <c r="AR15" s="345">
        <f>SUM(AE15:AQ15)</f>
        <v>0</v>
      </c>
      <c r="AS15" s="405"/>
      <c r="AT15" s="405"/>
      <c r="AU15" s="401"/>
    </row>
    <row r="16" spans="1:47" ht="20.2" customHeight="1" thickBot="1">
      <c r="A16" s="346" t="s">
        <v>101</v>
      </c>
      <c r="B16" s="347"/>
      <c r="C16" s="347"/>
      <c r="D16" s="347"/>
      <c r="E16" s="347"/>
      <c r="F16" s="347"/>
      <c r="G16" s="347"/>
      <c r="H16" s="347"/>
      <c r="I16" s="347"/>
      <c r="J16" s="347"/>
      <c r="K16" s="347"/>
      <c r="L16" s="347"/>
      <c r="M16" s="347"/>
      <c r="N16" s="347"/>
      <c r="O16" s="347"/>
      <c r="P16" s="347"/>
      <c r="Q16" s="347"/>
      <c r="R16" s="348"/>
      <c r="S16" s="349">
        <f>SUM(U4:U15)</f>
        <v>0</v>
      </c>
      <c r="T16" s="350"/>
      <c r="U16" s="351"/>
      <c r="AA16" s="410"/>
      <c r="AB16" s="303"/>
      <c r="AC16" s="304"/>
      <c r="AD16" s="304"/>
      <c r="AE16" s="304"/>
      <c r="AF16" s="304"/>
      <c r="AG16" s="304"/>
      <c r="AH16" s="304"/>
      <c r="AI16" s="304"/>
      <c r="AJ16" s="304"/>
      <c r="AK16" s="304"/>
      <c r="AL16" s="304"/>
      <c r="AM16" s="304"/>
      <c r="AN16" s="304"/>
      <c r="AO16" s="304"/>
      <c r="AP16" s="304"/>
      <c r="AQ16" s="304"/>
      <c r="AR16" s="305" t="s">
        <v>234</v>
      </c>
      <c r="AS16" s="306">
        <f>SUM(AS4:AS15)</f>
        <v>0</v>
      </c>
      <c r="AT16" s="306">
        <f>SUM(AT4:AT15)</f>
        <v>0</v>
      </c>
      <c r="AU16" s="306">
        <f>SUM(AU4:AU15)</f>
        <v>0</v>
      </c>
    </row>
    <row r="17" spans="1:47" ht="11.9" customHeight="1">
      <c r="A17" s="59"/>
      <c r="B17" s="59"/>
      <c r="C17" s="59"/>
      <c r="D17" s="59"/>
      <c r="E17" s="59"/>
      <c r="F17" s="59"/>
      <c r="G17" s="59"/>
      <c r="H17" s="59"/>
      <c r="I17" s="59"/>
      <c r="J17" s="59"/>
      <c r="K17" s="59"/>
      <c r="L17" s="59"/>
      <c r="M17" s="59"/>
      <c r="N17" s="59"/>
      <c r="O17" s="59"/>
      <c r="P17" s="59"/>
      <c r="Q17" s="59"/>
      <c r="R17" s="59"/>
      <c r="S17" s="59"/>
      <c r="T17" s="59"/>
      <c r="U17" s="59"/>
      <c r="AA17" s="410"/>
      <c r="AB17" s="132"/>
      <c r="AC17" s="132"/>
      <c r="AD17" s="132"/>
      <c r="AE17" s="132"/>
      <c r="AF17" s="132"/>
      <c r="AG17" s="132"/>
      <c r="AH17" s="132"/>
      <c r="AI17" s="132"/>
      <c r="AJ17" s="132"/>
      <c r="AK17" s="132"/>
      <c r="AL17" s="132"/>
      <c r="AM17" s="132"/>
      <c r="AN17" s="132"/>
      <c r="AO17" s="132"/>
      <c r="AP17" s="132"/>
      <c r="AQ17" s="132"/>
      <c r="AR17" s="132"/>
      <c r="AS17" s="411" t="s">
        <v>253</v>
      </c>
      <c r="AT17" s="411" t="s">
        <v>254</v>
      </c>
      <c r="AU17" s="132"/>
    </row>
    <row r="18" spans="1:47" ht="20.2" customHeight="1">
      <c r="A18" s="354" t="s">
        <v>375</v>
      </c>
      <c r="B18" s="354"/>
      <c r="C18" s="354"/>
      <c r="D18" s="354"/>
      <c r="E18" s="354"/>
      <c r="F18" s="354"/>
      <c r="G18" s="354"/>
      <c r="H18" s="354"/>
      <c r="I18" s="354"/>
      <c r="J18" s="354"/>
      <c r="K18" s="354"/>
      <c r="L18" s="354"/>
      <c r="M18" s="354"/>
      <c r="N18" s="354"/>
      <c r="O18" s="354"/>
      <c r="P18" s="354"/>
      <c r="Q18" s="372"/>
      <c r="R18" s="372"/>
      <c r="S18" s="372"/>
      <c r="T18" s="372"/>
      <c r="U18" s="372"/>
      <c r="AA18" s="410"/>
      <c r="AB18" s="132"/>
      <c r="AC18" s="307"/>
      <c r="AD18" s="307"/>
      <c r="AE18" s="307"/>
      <c r="AF18" s="307"/>
      <c r="AG18" s="132"/>
      <c r="AH18" s="132"/>
      <c r="AI18" s="132"/>
      <c r="AJ18" s="132"/>
      <c r="AK18" s="132"/>
      <c r="AL18" s="132"/>
      <c r="AM18" s="132"/>
      <c r="AN18" s="132"/>
      <c r="AO18" s="132"/>
      <c r="AP18" s="132"/>
      <c r="AQ18" s="132"/>
      <c r="AR18" s="132"/>
      <c r="AS18" s="412"/>
      <c r="AT18" s="412"/>
      <c r="AU18" s="132"/>
    </row>
    <row r="19" spans="1:47" ht="20.2" customHeight="1" thickBot="1">
      <c r="A19" s="353" t="s">
        <v>241</v>
      </c>
      <c r="B19" s="353"/>
      <c r="C19" s="353"/>
      <c r="D19" s="353"/>
      <c r="E19" s="353"/>
      <c r="F19" s="353"/>
      <c r="G19" s="353"/>
      <c r="H19" s="353"/>
      <c r="I19" s="353"/>
      <c r="J19" s="353"/>
      <c r="K19" s="353"/>
      <c r="L19" s="353"/>
      <c r="M19" s="353"/>
      <c r="N19" s="353"/>
      <c r="O19" s="353"/>
      <c r="P19" s="353"/>
      <c r="Q19" s="352">
        <f>Y10</f>
        <v>0</v>
      </c>
      <c r="R19" s="352"/>
      <c r="S19" s="352"/>
      <c r="T19" s="352"/>
      <c r="U19" s="352"/>
      <c r="AA19" s="410"/>
      <c r="AB19" s="392" t="s">
        <v>236</v>
      </c>
      <c r="AC19" s="392"/>
      <c r="AD19" s="392"/>
      <c r="AE19" s="392"/>
      <c r="AF19" s="392"/>
      <c r="AG19" s="392"/>
      <c r="AH19" s="132"/>
      <c r="AI19" s="377" t="s">
        <v>239</v>
      </c>
      <c r="AJ19" s="377"/>
      <c r="AK19" s="377"/>
      <c r="AL19" s="377"/>
      <c r="AM19" s="377"/>
      <c r="AN19" s="377"/>
      <c r="AO19" s="377"/>
      <c r="AP19" s="132"/>
      <c r="AQ19" s="132"/>
      <c r="AR19" s="132"/>
      <c r="AS19" s="132"/>
      <c r="AT19" s="132"/>
      <c r="AU19" s="132"/>
    </row>
    <row r="20" spans="1:47" ht="20.2" customHeight="1" thickBot="1">
      <c r="A20" s="353" t="s">
        <v>113</v>
      </c>
      <c r="B20" s="353"/>
      <c r="C20" s="353"/>
      <c r="D20" s="353"/>
      <c r="E20" s="353"/>
      <c r="F20" s="353"/>
      <c r="G20" s="353"/>
      <c r="H20" s="353"/>
      <c r="I20" s="353"/>
      <c r="J20" s="353"/>
      <c r="K20" s="353"/>
      <c r="L20" s="353"/>
      <c r="M20" s="353"/>
      <c r="N20" s="353"/>
      <c r="O20" s="353"/>
      <c r="P20" s="353"/>
      <c r="Q20" s="352">
        <f>Z10</f>
        <v>0</v>
      </c>
      <c r="R20" s="352"/>
      <c r="S20" s="352"/>
      <c r="T20" s="352"/>
      <c r="U20" s="352"/>
      <c r="AA20" s="410"/>
      <c r="AB20" s="393"/>
      <c r="AC20" s="393"/>
      <c r="AD20" s="393"/>
      <c r="AE20" s="393"/>
      <c r="AF20" s="393"/>
      <c r="AG20" s="393"/>
      <c r="AH20" s="132"/>
      <c r="AI20" s="375" t="s">
        <v>251</v>
      </c>
      <c r="AJ20" s="376"/>
      <c r="AK20" s="376"/>
      <c r="AL20" s="376"/>
      <c r="AM20" s="376"/>
      <c r="AN20" s="388">
        <f>Q21</f>
        <v>0</v>
      </c>
      <c r="AO20" s="388"/>
      <c r="AP20" s="389"/>
      <c r="AQ20" s="132"/>
      <c r="AR20" s="132"/>
      <c r="AS20" s="132"/>
      <c r="AT20" s="132"/>
      <c r="AU20" s="132"/>
    </row>
    <row r="21" spans="1:47" ht="20.2" customHeight="1">
      <c r="A21" s="354" t="s">
        <v>257</v>
      </c>
      <c r="B21" s="354"/>
      <c r="C21" s="354"/>
      <c r="D21" s="354"/>
      <c r="E21" s="354"/>
      <c r="F21" s="354"/>
      <c r="G21" s="354"/>
      <c r="H21" s="354"/>
      <c r="I21" s="354"/>
      <c r="J21" s="354"/>
      <c r="K21" s="354"/>
      <c r="L21" s="354"/>
      <c r="M21" s="354"/>
      <c r="N21" s="354"/>
      <c r="O21" s="354"/>
      <c r="P21" s="354"/>
      <c r="Q21" s="371">
        <f>Q18+S16</f>
        <v>0</v>
      </c>
      <c r="R21" s="371"/>
      <c r="S21" s="371"/>
      <c r="T21" s="371"/>
      <c r="U21" s="371"/>
      <c r="AA21" s="410"/>
      <c r="AB21" s="421" t="s">
        <v>224</v>
      </c>
      <c r="AC21" s="394" t="s">
        <v>235</v>
      </c>
      <c r="AD21" s="394"/>
      <c r="AE21" s="394" t="s">
        <v>295</v>
      </c>
      <c r="AF21" s="394"/>
      <c r="AG21" s="395"/>
      <c r="AH21" s="132"/>
      <c r="AI21" s="328" t="s">
        <v>237</v>
      </c>
      <c r="AJ21" s="329"/>
      <c r="AK21" s="329"/>
      <c r="AL21" s="329"/>
      <c r="AM21" s="329"/>
      <c r="AN21" s="390">
        <f>AE29</f>
        <v>0</v>
      </c>
      <c r="AO21" s="390"/>
      <c r="AP21" s="391"/>
      <c r="AQ21" s="132"/>
      <c r="AR21" s="132"/>
      <c r="AS21" s="132"/>
      <c r="AT21" s="132"/>
      <c r="AU21" s="132"/>
    </row>
    <row r="22" spans="1:47" ht="16.3">
      <c r="A22" s="59" t="s">
        <v>258</v>
      </c>
      <c r="B22" s="59"/>
      <c r="C22" s="59"/>
      <c r="D22" s="59"/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59"/>
      <c r="P22" s="59"/>
      <c r="Q22" s="59"/>
      <c r="R22" s="59"/>
      <c r="S22" s="59"/>
      <c r="T22" s="59"/>
      <c r="U22" s="59"/>
      <c r="AA22" s="410"/>
      <c r="AB22" s="330"/>
      <c r="AC22" s="396"/>
      <c r="AD22" s="396"/>
      <c r="AE22" s="396"/>
      <c r="AF22" s="396"/>
      <c r="AG22" s="397"/>
      <c r="AH22" s="132"/>
      <c r="AI22" s="330" t="s">
        <v>238</v>
      </c>
      <c r="AJ22" s="331"/>
      <c r="AK22" s="331"/>
      <c r="AL22" s="331"/>
      <c r="AM22" s="331"/>
      <c r="AN22" s="324">
        <f>AU16</f>
        <v>0</v>
      </c>
      <c r="AO22" s="324"/>
      <c r="AP22" s="325"/>
      <c r="AQ22" s="132"/>
      <c r="AR22" s="132"/>
      <c r="AS22" s="132"/>
      <c r="AT22" s="132"/>
      <c r="AU22" s="132"/>
    </row>
    <row r="23" spans="1:47" ht="16.899999999999999" thickBot="1">
      <c r="A23" s="59" t="s">
        <v>102</v>
      </c>
      <c r="B23" s="59"/>
      <c r="C23" s="59"/>
      <c r="D23" s="59"/>
      <c r="E23" s="59"/>
      <c r="F23" s="59"/>
      <c r="G23" s="59"/>
      <c r="H23" s="59"/>
      <c r="I23" s="59"/>
      <c r="J23" s="59"/>
      <c r="K23" s="59"/>
      <c r="L23" s="59"/>
      <c r="M23" s="59"/>
      <c r="N23" s="59"/>
      <c r="O23" s="59"/>
      <c r="P23" s="59"/>
      <c r="Q23" s="59"/>
      <c r="R23" s="59"/>
      <c r="S23" s="59"/>
      <c r="T23" s="59"/>
      <c r="U23" s="59"/>
      <c r="AA23" s="410"/>
      <c r="AB23" s="308" t="s">
        <v>227</v>
      </c>
      <c r="AC23" s="419">
        <f>Q4</f>
        <v>0</v>
      </c>
      <c r="AD23" s="420"/>
      <c r="AE23" s="324">
        <f>AC23*S4</f>
        <v>0</v>
      </c>
      <c r="AF23" s="324"/>
      <c r="AG23" s="325"/>
      <c r="AH23" s="132"/>
      <c r="AI23" s="413" t="s">
        <v>374</v>
      </c>
      <c r="AJ23" s="414"/>
      <c r="AK23" s="414"/>
      <c r="AL23" s="414"/>
      <c r="AM23" s="415"/>
      <c r="AN23" s="416">
        <f>SUM(AN20:AP22)</f>
        <v>0</v>
      </c>
      <c r="AO23" s="417"/>
      <c r="AP23" s="418"/>
      <c r="AQ23" s="132"/>
      <c r="AR23" s="132"/>
      <c r="AS23" s="132"/>
      <c r="AT23" s="132"/>
      <c r="AU23" s="132"/>
    </row>
    <row r="24" spans="1:47" ht="16.3">
      <c r="A24" s="59" t="s">
        <v>390</v>
      </c>
      <c r="B24" s="59"/>
      <c r="C24" s="59"/>
      <c r="D24" s="59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59"/>
      <c r="S24" s="59"/>
      <c r="T24" s="59"/>
      <c r="U24" s="59"/>
      <c r="AA24" s="410"/>
      <c r="AB24" s="308" t="s">
        <v>228</v>
      </c>
      <c r="AC24" s="419">
        <f>Q6</f>
        <v>0</v>
      </c>
      <c r="AD24" s="420"/>
      <c r="AE24" s="324">
        <f>AC24*S6</f>
        <v>0</v>
      </c>
      <c r="AF24" s="324"/>
      <c r="AG24" s="325"/>
      <c r="AH24" s="132"/>
      <c r="AI24" s="132"/>
      <c r="AJ24" s="132"/>
      <c r="AK24" s="132"/>
      <c r="AL24" s="132"/>
      <c r="AM24" s="132"/>
      <c r="AN24" s="132"/>
      <c r="AO24" s="132"/>
      <c r="AP24" s="132"/>
      <c r="AQ24" s="132"/>
      <c r="AR24" s="132"/>
      <c r="AS24" s="132"/>
      <c r="AT24" s="132"/>
      <c r="AU24" s="132"/>
    </row>
    <row r="25" spans="1:47" ht="16.3">
      <c r="A25" s="59" t="s">
        <v>103</v>
      </c>
      <c r="B25" s="59"/>
      <c r="C25" s="59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AA25" s="410"/>
      <c r="AB25" s="308" t="s">
        <v>229</v>
      </c>
      <c r="AC25" s="419">
        <f>Q8</f>
        <v>0</v>
      </c>
      <c r="AD25" s="420"/>
      <c r="AE25" s="324">
        <f>AC25*S8</f>
        <v>0</v>
      </c>
      <c r="AF25" s="324"/>
      <c r="AG25" s="325"/>
      <c r="AH25" s="132"/>
      <c r="AI25" s="132"/>
      <c r="AJ25" s="132"/>
      <c r="AK25" s="132"/>
      <c r="AL25" s="132"/>
      <c r="AM25" s="132"/>
      <c r="AN25" s="132"/>
      <c r="AO25" s="132"/>
      <c r="AP25" s="132"/>
      <c r="AQ25" s="132"/>
      <c r="AR25" s="132"/>
      <c r="AS25" s="132"/>
      <c r="AT25" s="132"/>
      <c r="AU25" s="132"/>
    </row>
    <row r="26" spans="1:47" ht="16.3">
      <c r="B26" s="59"/>
      <c r="C26" s="59"/>
      <c r="D26" s="59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59"/>
      <c r="AA26" s="410"/>
      <c r="AB26" s="308" t="s">
        <v>230</v>
      </c>
      <c r="AC26" s="419">
        <f>Q10</f>
        <v>0</v>
      </c>
      <c r="AD26" s="420"/>
      <c r="AE26" s="324">
        <f>AC26*S10</f>
        <v>0</v>
      </c>
      <c r="AF26" s="324"/>
      <c r="AG26" s="325"/>
      <c r="AH26" s="132"/>
      <c r="AI26" s="132"/>
      <c r="AJ26" s="132"/>
      <c r="AK26" s="132"/>
      <c r="AL26" s="132"/>
      <c r="AM26" s="132"/>
      <c r="AN26" s="132"/>
      <c r="AO26" s="132"/>
      <c r="AP26" s="132"/>
      <c r="AQ26" s="132"/>
      <c r="AR26" s="132"/>
      <c r="AS26" s="132"/>
      <c r="AT26" s="132"/>
      <c r="AU26" s="132"/>
    </row>
    <row r="27" spans="1:47" ht="16.3">
      <c r="A27" s="59" t="s">
        <v>104</v>
      </c>
      <c r="B27" s="59"/>
      <c r="C27" s="59"/>
      <c r="D27" s="59"/>
      <c r="E27" s="59"/>
      <c r="F27" s="59"/>
      <c r="G27" s="59"/>
      <c r="H27" s="59" t="s">
        <v>105</v>
      </c>
      <c r="I27" s="59"/>
      <c r="K27" s="59"/>
      <c r="L27" s="59"/>
      <c r="O27" s="59" t="s">
        <v>106</v>
      </c>
      <c r="P27" s="59"/>
      <c r="R27" s="59"/>
      <c r="S27" s="59" t="s">
        <v>107</v>
      </c>
      <c r="T27" s="59"/>
      <c r="U27" s="59"/>
      <c r="AA27" s="410"/>
      <c r="AB27" s="308" t="s">
        <v>231</v>
      </c>
      <c r="AC27" s="419">
        <f>Q12</f>
        <v>0</v>
      </c>
      <c r="AD27" s="420"/>
      <c r="AE27" s="324">
        <f>AC27*S12</f>
        <v>0</v>
      </c>
      <c r="AF27" s="324"/>
      <c r="AG27" s="325"/>
      <c r="AH27" s="132"/>
      <c r="AI27" s="132"/>
      <c r="AJ27" s="132"/>
      <c r="AK27" s="132"/>
      <c r="AL27" s="132"/>
      <c r="AM27" s="132"/>
      <c r="AN27" s="132"/>
      <c r="AO27" s="132"/>
      <c r="AP27" s="132"/>
      <c r="AQ27" s="132"/>
      <c r="AR27" s="132"/>
      <c r="AS27" s="132"/>
      <c r="AT27" s="132"/>
      <c r="AU27" s="132"/>
    </row>
    <row r="28" spans="1:47" ht="16.3">
      <c r="A28" s="59"/>
      <c r="B28" s="59"/>
      <c r="C28" s="59"/>
      <c r="D28" s="59"/>
      <c r="E28" s="59"/>
      <c r="F28" s="59"/>
      <c r="G28" s="59"/>
      <c r="T28" s="59"/>
      <c r="U28" s="59"/>
      <c r="AA28" s="410"/>
      <c r="AB28" s="308" t="s">
        <v>232</v>
      </c>
      <c r="AC28" s="419">
        <f>Q14</f>
        <v>0</v>
      </c>
      <c r="AD28" s="420"/>
      <c r="AE28" s="324">
        <f>AC28*S14</f>
        <v>0</v>
      </c>
      <c r="AF28" s="324"/>
      <c r="AG28" s="325"/>
      <c r="AH28" s="132"/>
      <c r="AI28" s="132"/>
      <c r="AJ28" s="132"/>
      <c r="AK28" s="132"/>
      <c r="AL28" s="132"/>
      <c r="AM28" s="132"/>
      <c r="AN28" s="132"/>
      <c r="AO28" s="132"/>
      <c r="AP28" s="132"/>
      <c r="AQ28" s="132"/>
      <c r="AR28" s="132"/>
      <c r="AS28" s="132"/>
      <c r="AT28" s="132"/>
      <c r="AU28" s="132"/>
    </row>
    <row r="29" spans="1:47" ht="16.899999999999999" thickBot="1">
      <c r="A29" s="59"/>
      <c r="B29" s="59"/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59"/>
      <c r="T29" s="59"/>
      <c r="U29" s="59"/>
      <c r="AA29" s="410"/>
      <c r="AB29" s="309"/>
      <c r="AC29" s="310" t="s">
        <v>234</v>
      </c>
      <c r="AD29" s="310"/>
      <c r="AE29" s="326">
        <f>SUM(AE23:AF28)</f>
        <v>0</v>
      </c>
      <c r="AF29" s="326"/>
      <c r="AG29" s="327"/>
      <c r="AH29" s="132"/>
      <c r="AI29" s="132"/>
      <c r="AJ29" s="132"/>
      <c r="AK29" s="132"/>
      <c r="AL29" s="132"/>
      <c r="AM29" s="132"/>
      <c r="AN29" s="132"/>
      <c r="AO29" s="132"/>
      <c r="AP29" s="132"/>
      <c r="AQ29" s="132"/>
      <c r="AR29" s="132"/>
      <c r="AS29" s="132"/>
      <c r="AT29" s="132"/>
      <c r="AU29" s="132"/>
    </row>
    <row r="30" spans="1:47" ht="16.3">
      <c r="A30" s="59"/>
      <c r="D30" s="59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59"/>
      <c r="T30" s="59"/>
      <c r="U30" s="59"/>
    </row>
    <row r="31" spans="1:47" ht="22.55">
      <c r="A31" s="67" t="s">
        <v>249</v>
      </c>
      <c r="B31" s="67"/>
      <c r="C31" s="67"/>
    </row>
    <row r="32" spans="1:47" ht="22.55">
      <c r="A32" s="67" t="s">
        <v>391</v>
      </c>
      <c r="B32" s="67"/>
      <c r="C32" s="67"/>
    </row>
    <row r="33" spans="1:3" ht="22.55">
      <c r="A33" s="67" t="s">
        <v>255</v>
      </c>
      <c r="B33" s="67"/>
      <c r="C33" s="67"/>
    </row>
  </sheetData>
  <sheetProtection sheet="1" objects="1" scenarios="1" formatCells="0" formatColumns="0" formatRows="0" insertColumns="0" insertRows="0" insertHyperlinks="0" deleteColumns="0" deleteRows="0" selectLockedCells="1" sort="0" autoFilter="0" pivotTables="0"/>
  <mergeCells count="224">
    <mergeCell ref="AA1:AA29"/>
    <mergeCell ref="AS17:AS18"/>
    <mergeCell ref="AT17:AT18"/>
    <mergeCell ref="AI23:AM23"/>
    <mergeCell ref="AN23:AP23"/>
    <mergeCell ref="AC23:AD23"/>
    <mergeCell ref="AC24:AD24"/>
    <mergeCell ref="AC25:AD25"/>
    <mergeCell ref="AC26:AD26"/>
    <mergeCell ref="AC27:AD27"/>
    <mergeCell ref="AE23:AG23"/>
    <mergeCell ref="AE24:AG24"/>
    <mergeCell ref="AE25:AG25"/>
    <mergeCell ref="AE26:AG26"/>
    <mergeCell ref="AE27:AG27"/>
    <mergeCell ref="AC28:AD28"/>
    <mergeCell ref="AB21:AB22"/>
    <mergeCell ref="AC21:AD22"/>
    <mergeCell ref="AT12:AT13"/>
    <mergeCell ref="AS14:AS15"/>
    <mergeCell ref="AT14:AT15"/>
    <mergeCell ref="AR12:AR13"/>
    <mergeCell ref="AC13:AD13"/>
    <mergeCell ref="AC14:AD14"/>
    <mergeCell ref="AE14:AF14"/>
    <mergeCell ref="AG14:AH14"/>
    <mergeCell ref="AI14:AJ14"/>
    <mergeCell ref="AK14:AL14"/>
    <mergeCell ref="AM14:AN14"/>
    <mergeCell ref="AR14:AR15"/>
    <mergeCell ref="AC15:AD15"/>
    <mergeCell ref="AB14:AB15"/>
    <mergeCell ref="AG12:AH12"/>
    <mergeCell ref="AI12:AJ12"/>
    <mergeCell ref="AN20:AP20"/>
    <mergeCell ref="AN21:AP21"/>
    <mergeCell ref="AB19:AG20"/>
    <mergeCell ref="AN22:AP22"/>
    <mergeCell ref="AE21:AG22"/>
    <mergeCell ref="AU2:AU3"/>
    <mergeCell ref="AU4:AU5"/>
    <mergeCell ref="AU6:AU7"/>
    <mergeCell ref="AU8:AU9"/>
    <mergeCell ref="AU10:AU11"/>
    <mergeCell ref="AU12:AU13"/>
    <mergeCell ref="AU14:AU15"/>
    <mergeCell ref="AT2:AT3"/>
    <mergeCell ref="AS4:AS5"/>
    <mergeCell ref="AT4:AT5"/>
    <mergeCell ref="AS6:AS7"/>
    <mergeCell ref="AT6:AT7"/>
    <mergeCell ref="AS8:AS9"/>
    <mergeCell ref="AT8:AT9"/>
    <mergeCell ref="AS10:AS11"/>
    <mergeCell ref="AT10:AT11"/>
    <mergeCell ref="AS2:AS3"/>
    <mergeCell ref="AS12:AS13"/>
    <mergeCell ref="AR2:AR3"/>
    <mergeCell ref="AP4:AQ4"/>
    <mergeCell ref="AR4:AR5"/>
    <mergeCell ref="AI5:AJ5"/>
    <mergeCell ref="AK5:AL5"/>
    <mergeCell ref="AM5:AN5"/>
    <mergeCell ref="AP5:AQ5"/>
    <mergeCell ref="AG10:AH10"/>
    <mergeCell ref="AI10:AJ10"/>
    <mergeCell ref="AK10:AL10"/>
    <mergeCell ref="AM10:AN10"/>
    <mergeCell ref="AR8:AR9"/>
    <mergeCell ref="AC9:AD9"/>
    <mergeCell ref="AR10:AR11"/>
    <mergeCell ref="AC11:AD11"/>
    <mergeCell ref="AP6:AQ6"/>
    <mergeCell ref="AR6:AR7"/>
    <mergeCell ref="AI7:AJ7"/>
    <mergeCell ref="AK7:AL7"/>
    <mergeCell ref="AM7:AN7"/>
    <mergeCell ref="AP7:AQ7"/>
    <mergeCell ref="AM8:AN8"/>
    <mergeCell ref="AB2:AB3"/>
    <mergeCell ref="AC2:AD2"/>
    <mergeCell ref="AE2:AF2"/>
    <mergeCell ref="AG2:AH2"/>
    <mergeCell ref="AI2:AJ2"/>
    <mergeCell ref="AK2:AL2"/>
    <mergeCell ref="AM2:AN2"/>
    <mergeCell ref="AB6:AB7"/>
    <mergeCell ref="AC6:AD6"/>
    <mergeCell ref="AE6:AF6"/>
    <mergeCell ref="AG6:AH6"/>
    <mergeCell ref="AI6:AJ6"/>
    <mergeCell ref="AK6:AL6"/>
    <mergeCell ref="AM6:AN6"/>
    <mergeCell ref="AB4:AB5"/>
    <mergeCell ref="AC4:AD4"/>
    <mergeCell ref="AE4:AF4"/>
    <mergeCell ref="AG4:AH4"/>
    <mergeCell ref="AI4:AJ4"/>
    <mergeCell ref="AK4:AL4"/>
    <mergeCell ref="AM4:AN4"/>
    <mergeCell ref="D4:E4"/>
    <mergeCell ref="F4:G4"/>
    <mergeCell ref="H4:I4"/>
    <mergeCell ref="J4:K4"/>
    <mergeCell ref="L4:M4"/>
    <mergeCell ref="H7:I7"/>
    <mergeCell ref="J5:K5"/>
    <mergeCell ref="D2:E2"/>
    <mergeCell ref="Q4:Q5"/>
    <mergeCell ref="B11:C11"/>
    <mergeCell ref="L10:M10"/>
    <mergeCell ref="H5:I5"/>
    <mergeCell ref="AK12:AL12"/>
    <mergeCell ref="AM12:AN12"/>
    <mergeCell ref="AI20:AM20"/>
    <mergeCell ref="AI19:AO19"/>
    <mergeCell ref="A20:P20"/>
    <mergeCell ref="B14:C14"/>
    <mergeCell ref="L14:M14"/>
    <mergeCell ref="U12:U13"/>
    <mergeCell ref="B13:C13"/>
    <mergeCell ref="L12:M12"/>
    <mergeCell ref="AB12:AB13"/>
    <mergeCell ref="AC12:AD12"/>
    <mergeCell ref="AE12:AF12"/>
    <mergeCell ref="B12:C12"/>
    <mergeCell ref="AB8:AB9"/>
    <mergeCell ref="AC8:AD8"/>
    <mergeCell ref="AE8:AF8"/>
    <mergeCell ref="AG8:AH8"/>
    <mergeCell ref="L5:M5"/>
    <mergeCell ref="L7:M7"/>
    <mergeCell ref="B10:C10"/>
    <mergeCell ref="A21:P21"/>
    <mergeCell ref="Q21:U21"/>
    <mergeCell ref="A4:A5"/>
    <mergeCell ref="A6:A7"/>
    <mergeCell ref="A8:A9"/>
    <mergeCell ref="Q18:U18"/>
    <mergeCell ref="Q6:Q7"/>
    <mergeCell ref="Q8:Q9"/>
    <mergeCell ref="D6:E6"/>
    <mergeCell ref="S4:S5"/>
    <mergeCell ref="R6:R7"/>
    <mergeCell ref="S6:S7"/>
    <mergeCell ref="R8:R9"/>
    <mergeCell ref="S8:S9"/>
    <mergeCell ref="Q19:U19"/>
    <mergeCell ref="R10:R11"/>
    <mergeCell ref="S10:S11"/>
    <mergeCell ref="T10:T11"/>
    <mergeCell ref="A10:A11"/>
    <mergeCell ref="D10:E10"/>
    <mergeCell ref="F10:G10"/>
    <mergeCell ref="H10:I10"/>
    <mergeCell ref="J10:K10"/>
    <mergeCell ref="B4:C4"/>
    <mergeCell ref="A2:A3"/>
    <mergeCell ref="D8:E8"/>
    <mergeCell ref="F6:G6"/>
    <mergeCell ref="F8:G8"/>
    <mergeCell ref="T4:T5"/>
    <mergeCell ref="T8:T9"/>
    <mergeCell ref="U4:U5"/>
    <mergeCell ref="U6:U7"/>
    <mergeCell ref="T6:T7"/>
    <mergeCell ref="R4:R5"/>
    <mergeCell ref="O5:P5"/>
    <mergeCell ref="F2:G2"/>
    <mergeCell ref="H2:I2"/>
    <mergeCell ref="J2:K2"/>
    <mergeCell ref="L2:M2"/>
    <mergeCell ref="O4:P4"/>
    <mergeCell ref="O7:P7"/>
    <mergeCell ref="B9:C9"/>
    <mergeCell ref="J6:K6"/>
    <mergeCell ref="J8:K8"/>
    <mergeCell ref="L6:M6"/>
    <mergeCell ref="B2:C2"/>
    <mergeCell ref="B6:C6"/>
    <mergeCell ref="B8:C8"/>
    <mergeCell ref="A14:A15"/>
    <mergeCell ref="D14:E14"/>
    <mergeCell ref="F14:G14"/>
    <mergeCell ref="H14:I14"/>
    <mergeCell ref="J14:K14"/>
    <mergeCell ref="A12:A13"/>
    <mergeCell ref="D12:E12"/>
    <mergeCell ref="F12:G12"/>
    <mergeCell ref="H12:I12"/>
    <mergeCell ref="J12:K12"/>
    <mergeCell ref="Q14:Q15"/>
    <mergeCell ref="R14:R15"/>
    <mergeCell ref="S14:S15"/>
    <mergeCell ref="T14:T15"/>
    <mergeCell ref="U14:U15"/>
    <mergeCell ref="Q12:Q13"/>
    <mergeCell ref="R12:R13"/>
    <mergeCell ref="S12:S13"/>
    <mergeCell ref="T12:T13"/>
    <mergeCell ref="F1:I1"/>
    <mergeCell ref="AE28:AG28"/>
    <mergeCell ref="AE29:AG29"/>
    <mergeCell ref="AI21:AM21"/>
    <mergeCell ref="AI22:AM22"/>
    <mergeCell ref="AB10:AB11"/>
    <mergeCell ref="AC10:AD10"/>
    <mergeCell ref="AE10:AF10"/>
    <mergeCell ref="H6:I6"/>
    <mergeCell ref="H8:I8"/>
    <mergeCell ref="U8:U9"/>
    <mergeCell ref="J7:K7"/>
    <mergeCell ref="AI8:AJ8"/>
    <mergeCell ref="AK8:AL8"/>
    <mergeCell ref="Q10:Q11"/>
    <mergeCell ref="O6:P6"/>
    <mergeCell ref="A16:R16"/>
    <mergeCell ref="S16:U16"/>
    <mergeCell ref="U10:U11"/>
    <mergeCell ref="Q20:U20"/>
    <mergeCell ref="A19:P19"/>
    <mergeCell ref="A18:P18"/>
    <mergeCell ref="B15:C15"/>
    <mergeCell ref="L8:M8"/>
  </mergeCells>
  <phoneticPr fontId="8" type="noConversion"/>
  <dataValidations count="4">
    <dataValidation type="list" allowBlank="1" showInputMessage="1" showErrorMessage="1" sqref="D12 D10 F12 J14 N4 B4:D4 N10:P10 F6 N6 D8 F8 H8 B6 F10 H10 N12:P12 N8:P8 H12 J12 D6 F4 J10 J8 D14 F14 H14 N14:P14">
      <formula1>版本</formula1>
    </dataValidation>
    <dataValidation type="list" allowBlank="1" showInputMessage="1" showErrorMessage="1" sqref="L8:M8">
      <formula1>三年級英語</formula1>
    </dataValidation>
    <dataValidation type="list" allowBlank="1" showInputMessage="1" showErrorMessage="1" sqref="L10:M10 L12:M12">
      <formula1>四五年級英語</formula1>
    </dataValidation>
    <dataValidation type="list" allowBlank="1" showInputMessage="1" showErrorMessage="1" sqref="L14:M14">
      <formula1>六年級英語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9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44"/>
  <sheetViews>
    <sheetView zoomScale="90" zoomScaleNormal="90" workbookViewId="0">
      <pane ySplit="10" topLeftCell="A11" activePane="bottomLeft" state="frozen"/>
      <selection pane="bottomLeft" activeCell="A7" sqref="A7"/>
    </sheetView>
  </sheetViews>
  <sheetFormatPr defaultColWidth="10.125" defaultRowHeight="16.3"/>
  <cols>
    <col min="1" max="1" width="15" style="218" customWidth="1"/>
    <col min="2" max="2" width="10.625" style="218" customWidth="1"/>
    <col min="3" max="3" width="9.875" style="254" customWidth="1"/>
    <col min="4" max="5" width="9.125" style="218" customWidth="1"/>
    <col min="6" max="6" width="8.375" style="218" bestFit="1" customWidth="1"/>
    <col min="7" max="7" width="9.125" style="218" bestFit="1" customWidth="1"/>
    <col min="8" max="8" width="17.875" style="218" customWidth="1"/>
    <col min="9" max="9" width="12" style="218" customWidth="1"/>
    <col min="10" max="10" width="5.625" style="218" customWidth="1"/>
    <col min="11" max="11" width="5.5" style="218" customWidth="1"/>
    <col min="12" max="12" width="6.75" style="218" customWidth="1"/>
    <col min="13" max="13" width="14" style="218" customWidth="1"/>
    <col min="14" max="16384" width="10.125" style="218"/>
  </cols>
  <sheetData>
    <row r="1" spans="1:18" ht="23.2" thickBot="1">
      <c r="A1" s="435" t="s">
        <v>260</v>
      </c>
      <c r="B1" s="435"/>
      <c r="C1" s="435"/>
      <c r="D1" s="435"/>
      <c r="E1" s="435"/>
      <c r="F1" s="435"/>
      <c r="G1" s="435"/>
      <c r="H1" s="435"/>
      <c r="I1" s="435"/>
      <c r="J1" s="435"/>
      <c r="K1" s="435"/>
      <c r="L1" s="435"/>
      <c r="M1" s="435"/>
    </row>
    <row r="2" spans="1:18" ht="34.6" customHeight="1" thickTop="1">
      <c r="A2" s="436" t="s">
        <v>261</v>
      </c>
      <c r="B2" s="437"/>
      <c r="C2" s="437"/>
      <c r="D2" s="437"/>
      <c r="E2" s="437"/>
      <c r="F2" s="438" t="s">
        <v>262</v>
      </c>
      <c r="G2" s="438"/>
      <c r="H2" s="438"/>
      <c r="I2" s="439" t="s">
        <v>263</v>
      </c>
      <c r="J2" s="442" t="s">
        <v>264</v>
      </c>
      <c r="K2" s="443"/>
      <c r="L2" s="443"/>
      <c r="M2" s="444"/>
    </row>
    <row r="3" spans="1:18" ht="28.5" customHeight="1">
      <c r="A3" s="445" t="s">
        <v>265</v>
      </c>
      <c r="B3" s="446" t="s">
        <v>266</v>
      </c>
      <c r="C3" s="448" t="s">
        <v>267</v>
      </c>
      <c r="D3" s="449"/>
      <c r="E3" s="449"/>
      <c r="F3" s="219" t="s">
        <v>268</v>
      </c>
      <c r="G3" s="219" t="s">
        <v>269</v>
      </c>
      <c r="H3" s="450" t="s">
        <v>270</v>
      </c>
      <c r="I3" s="440"/>
      <c r="J3" s="452" t="s">
        <v>271</v>
      </c>
      <c r="K3" s="441"/>
      <c r="L3" s="441"/>
      <c r="M3" s="423" t="s">
        <v>272</v>
      </c>
    </row>
    <row r="4" spans="1:18" ht="28.5" customHeight="1">
      <c r="A4" s="445"/>
      <c r="B4" s="447"/>
      <c r="C4" s="220" t="s">
        <v>273</v>
      </c>
      <c r="D4" s="220" t="s">
        <v>274</v>
      </c>
      <c r="E4" s="221" t="s">
        <v>275</v>
      </c>
      <c r="F4" s="222" t="s">
        <v>276</v>
      </c>
      <c r="G4" s="222" t="s">
        <v>276</v>
      </c>
      <c r="H4" s="451"/>
      <c r="I4" s="441"/>
      <c r="J4" s="223" t="s">
        <v>273</v>
      </c>
      <c r="K4" s="223" t="s">
        <v>274</v>
      </c>
      <c r="L4" s="224" t="s">
        <v>277</v>
      </c>
      <c r="M4" s="424"/>
    </row>
    <row r="5" spans="1:18" ht="36.799999999999997" customHeight="1" thickBot="1">
      <c r="A5" s="225" t="str">
        <f>統計表!F1</f>
        <v>○○國民小學</v>
      </c>
      <c r="B5" s="226" t="s">
        <v>278</v>
      </c>
      <c r="C5" s="226" t="s">
        <v>278</v>
      </c>
      <c r="D5" s="226" t="s">
        <v>278</v>
      </c>
      <c r="E5" s="227" t="e">
        <f>C5+D5</f>
        <v>#VALUE!</v>
      </c>
      <c r="F5" s="228">
        <f>F40</f>
        <v>1</v>
      </c>
      <c r="G5" s="228">
        <f>G40</f>
        <v>0</v>
      </c>
      <c r="H5" s="228">
        <f>F5+G5</f>
        <v>1</v>
      </c>
      <c r="I5" s="229" t="e">
        <f>H5/E5</f>
        <v>#VALUE!</v>
      </c>
      <c r="J5" s="230">
        <f>D40</f>
        <v>1</v>
      </c>
      <c r="K5" s="230">
        <f>E40</f>
        <v>0</v>
      </c>
      <c r="L5" s="231">
        <f>J5+K5</f>
        <v>1</v>
      </c>
      <c r="M5" s="232">
        <f>H40</f>
        <v>539</v>
      </c>
    </row>
    <row r="6" spans="1:18" ht="16.899999999999999" thickTop="1">
      <c r="A6" s="425" t="s">
        <v>279</v>
      </c>
      <c r="B6" s="426"/>
      <c r="C6" s="426"/>
      <c r="D6" s="426"/>
      <c r="E6" s="426"/>
      <c r="F6" s="426"/>
      <c r="G6" s="426"/>
      <c r="H6" s="426"/>
      <c r="I6" s="233"/>
      <c r="J6" s="233"/>
      <c r="K6" s="233"/>
      <c r="L6" s="234"/>
      <c r="M6" s="234"/>
    </row>
    <row r="8" spans="1:18" ht="26.95">
      <c r="A8" s="427" t="s">
        <v>280</v>
      </c>
      <c r="B8" s="427"/>
      <c r="C8" s="427"/>
      <c r="D8" s="427"/>
      <c r="E8" s="427"/>
      <c r="F8" s="427"/>
      <c r="G8" s="427"/>
      <c r="H8" s="427"/>
      <c r="I8" s="235"/>
      <c r="J8" s="235"/>
      <c r="K8" s="235"/>
      <c r="L8" s="235"/>
      <c r="M8" s="235"/>
    </row>
    <row r="9" spans="1:18" s="236" customFormat="1" ht="45.1" customHeight="1">
      <c r="A9" s="428" t="s">
        <v>281</v>
      </c>
      <c r="B9" s="430" t="s">
        <v>282</v>
      </c>
      <c r="C9" s="430" t="s">
        <v>283</v>
      </c>
      <c r="D9" s="432" t="s">
        <v>284</v>
      </c>
      <c r="E9" s="433"/>
      <c r="F9" s="428" t="s">
        <v>285</v>
      </c>
      <c r="G9" s="428"/>
      <c r="H9" s="428" t="s">
        <v>286</v>
      </c>
      <c r="R9" s="237"/>
    </row>
    <row r="10" spans="1:18">
      <c r="A10" s="429"/>
      <c r="B10" s="431"/>
      <c r="C10" s="431"/>
      <c r="D10" s="238" t="s">
        <v>273</v>
      </c>
      <c r="E10" s="238" t="s">
        <v>274</v>
      </c>
      <c r="F10" s="239" t="s">
        <v>287</v>
      </c>
      <c r="G10" s="239" t="s">
        <v>288</v>
      </c>
      <c r="H10" s="434"/>
    </row>
    <row r="11" spans="1:18">
      <c r="A11" s="240" t="s">
        <v>289</v>
      </c>
      <c r="B11" s="241" t="s">
        <v>290</v>
      </c>
      <c r="C11" s="242" t="s">
        <v>291</v>
      </c>
      <c r="D11" s="243">
        <v>1</v>
      </c>
      <c r="E11" s="243">
        <v>0</v>
      </c>
      <c r="F11" s="244">
        <v>1</v>
      </c>
      <c r="G11" s="244">
        <v>0</v>
      </c>
      <c r="H11" s="245">
        <v>539</v>
      </c>
      <c r="I11" s="246" t="s">
        <v>292</v>
      </c>
    </row>
    <row r="12" spans="1:18">
      <c r="A12" s="240"/>
      <c r="B12" s="247"/>
      <c r="C12" s="242"/>
      <c r="D12" s="247"/>
      <c r="E12" s="247"/>
      <c r="F12" s="248"/>
      <c r="G12" s="248"/>
      <c r="H12" s="245"/>
    </row>
    <row r="13" spans="1:18">
      <c r="A13" s="240"/>
      <c r="B13" s="247"/>
      <c r="C13" s="242"/>
      <c r="D13" s="247"/>
      <c r="E13" s="247"/>
      <c r="F13" s="248"/>
      <c r="G13" s="248"/>
      <c r="H13" s="245"/>
    </row>
    <row r="14" spans="1:18">
      <c r="A14" s="240"/>
      <c r="B14" s="247"/>
      <c r="C14" s="242"/>
      <c r="D14" s="247"/>
      <c r="E14" s="247"/>
      <c r="F14" s="248"/>
      <c r="G14" s="248"/>
      <c r="H14" s="245"/>
    </row>
    <row r="15" spans="1:18">
      <c r="A15" s="240"/>
      <c r="B15" s="247"/>
      <c r="C15" s="242"/>
      <c r="D15" s="247"/>
      <c r="E15" s="247"/>
      <c r="F15" s="248"/>
      <c r="G15" s="248"/>
      <c r="H15" s="245"/>
    </row>
    <row r="16" spans="1:18">
      <c r="A16" s="240"/>
      <c r="B16" s="247"/>
      <c r="C16" s="242"/>
      <c r="D16" s="247"/>
      <c r="E16" s="247"/>
      <c r="F16" s="248"/>
      <c r="G16" s="248"/>
      <c r="H16" s="245"/>
    </row>
    <row r="17" spans="1:8">
      <c r="A17" s="240"/>
      <c r="B17" s="247"/>
      <c r="C17" s="242"/>
      <c r="D17" s="247"/>
      <c r="E17" s="247"/>
      <c r="F17" s="248"/>
      <c r="G17" s="248"/>
      <c r="H17" s="245"/>
    </row>
    <row r="18" spans="1:8">
      <c r="A18" s="240"/>
      <c r="B18" s="247"/>
      <c r="C18" s="242"/>
      <c r="D18" s="247"/>
      <c r="E18" s="247"/>
      <c r="F18" s="248"/>
      <c r="G18" s="248"/>
      <c r="H18" s="245"/>
    </row>
    <row r="19" spans="1:8">
      <c r="A19" s="240"/>
      <c r="B19" s="247"/>
      <c r="C19" s="242"/>
      <c r="D19" s="247"/>
      <c r="E19" s="247"/>
      <c r="F19" s="248"/>
      <c r="G19" s="248"/>
      <c r="H19" s="245"/>
    </row>
    <row r="20" spans="1:8">
      <c r="A20" s="240"/>
      <c r="B20" s="247"/>
      <c r="C20" s="242"/>
      <c r="D20" s="247"/>
      <c r="E20" s="247"/>
      <c r="F20" s="248"/>
      <c r="G20" s="248"/>
      <c r="H20" s="245"/>
    </row>
    <row r="21" spans="1:8">
      <c r="A21" s="240"/>
      <c r="B21" s="247"/>
      <c r="C21" s="242"/>
      <c r="D21" s="247"/>
      <c r="E21" s="247"/>
      <c r="F21" s="248"/>
      <c r="G21" s="248"/>
      <c r="H21" s="245"/>
    </row>
    <row r="22" spans="1:8">
      <c r="A22" s="240"/>
      <c r="B22" s="247"/>
      <c r="C22" s="242"/>
      <c r="D22" s="247"/>
      <c r="E22" s="247"/>
      <c r="F22" s="248"/>
      <c r="G22" s="248"/>
      <c r="H22" s="245"/>
    </row>
    <row r="23" spans="1:8">
      <c r="A23" s="240"/>
      <c r="B23" s="247"/>
      <c r="C23" s="242"/>
      <c r="D23" s="247"/>
      <c r="E23" s="247"/>
      <c r="F23" s="248"/>
      <c r="G23" s="248"/>
      <c r="H23" s="245"/>
    </row>
    <row r="24" spans="1:8">
      <c r="A24" s="240"/>
      <c r="B24" s="247"/>
      <c r="C24" s="242"/>
      <c r="D24" s="247"/>
      <c r="E24" s="247"/>
      <c r="F24" s="248"/>
      <c r="G24" s="248"/>
      <c r="H24" s="245"/>
    </row>
    <row r="25" spans="1:8">
      <c r="A25" s="240"/>
      <c r="B25" s="247"/>
      <c r="C25" s="242"/>
      <c r="D25" s="247"/>
      <c r="E25" s="247"/>
      <c r="F25" s="248"/>
      <c r="G25" s="248"/>
      <c r="H25" s="245"/>
    </row>
    <row r="26" spans="1:8">
      <c r="A26" s="240"/>
      <c r="B26" s="247"/>
      <c r="C26" s="242"/>
      <c r="D26" s="247"/>
      <c r="E26" s="247"/>
      <c r="F26" s="248"/>
      <c r="G26" s="248"/>
      <c r="H26" s="245"/>
    </row>
    <row r="27" spans="1:8">
      <c r="A27" s="240"/>
      <c r="B27" s="247"/>
      <c r="C27" s="242"/>
      <c r="D27" s="247"/>
      <c r="E27" s="247"/>
      <c r="F27" s="248"/>
      <c r="G27" s="248"/>
      <c r="H27" s="245"/>
    </row>
    <row r="28" spans="1:8">
      <c r="A28" s="240"/>
      <c r="B28" s="247"/>
      <c r="C28" s="242"/>
      <c r="D28" s="247"/>
      <c r="E28" s="247"/>
      <c r="F28" s="248"/>
      <c r="G28" s="248"/>
      <c r="H28" s="245"/>
    </row>
    <row r="29" spans="1:8">
      <c r="A29" s="240"/>
      <c r="B29" s="247"/>
      <c r="C29" s="242"/>
      <c r="D29" s="247"/>
      <c r="E29" s="247"/>
      <c r="F29" s="248"/>
      <c r="G29" s="248"/>
      <c r="H29" s="245"/>
    </row>
    <row r="30" spans="1:8">
      <c r="A30" s="240"/>
      <c r="B30" s="247"/>
      <c r="C30" s="242"/>
      <c r="D30" s="247"/>
      <c r="E30" s="247"/>
      <c r="F30" s="248"/>
      <c r="G30" s="248"/>
      <c r="H30" s="245"/>
    </row>
    <row r="31" spans="1:8">
      <c r="A31" s="240"/>
      <c r="B31" s="247"/>
      <c r="C31" s="242"/>
      <c r="D31" s="247"/>
      <c r="E31" s="247"/>
      <c r="F31" s="248"/>
      <c r="G31" s="248"/>
      <c r="H31" s="245"/>
    </row>
    <row r="32" spans="1:8">
      <c r="A32" s="240"/>
      <c r="B32" s="247"/>
      <c r="C32" s="242"/>
      <c r="D32" s="247"/>
      <c r="E32" s="247"/>
      <c r="F32" s="248"/>
      <c r="G32" s="248"/>
      <c r="H32" s="245"/>
    </row>
    <row r="33" spans="1:13">
      <c r="A33" s="240"/>
      <c r="B33" s="247"/>
      <c r="C33" s="242"/>
      <c r="D33" s="247"/>
      <c r="E33" s="247"/>
      <c r="F33" s="248"/>
      <c r="G33" s="248"/>
      <c r="H33" s="245"/>
    </row>
    <row r="34" spans="1:13">
      <c r="A34" s="240"/>
      <c r="B34" s="247"/>
      <c r="C34" s="242"/>
      <c r="D34" s="247"/>
      <c r="E34" s="247"/>
      <c r="F34" s="248"/>
      <c r="G34" s="248"/>
      <c r="H34" s="245"/>
    </row>
    <row r="35" spans="1:13">
      <c r="A35" s="240"/>
      <c r="B35" s="247"/>
      <c r="C35" s="242"/>
      <c r="D35" s="247"/>
      <c r="E35" s="247"/>
      <c r="F35" s="248"/>
      <c r="G35" s="248"/>
      <c r="H35" s="245"/>
    </row>
    <row r="36" spans="1:13">
      <c r="A36" s="240"/>
      <c r="B36" s="247"/>
      <c r="C36" s="242"/>
      <c r="D36" s="247"/>
      <c r="E36" s="247"/>
      <c r="F36" s="248"/>
      <c r="G36" s="248"/>
      <c r="H36" s="245"/>
    </row>
    <row r="37" spans="1:13">
      <c r="A37" s="240"/>
      <c r="B37" s="247"/>
      <c r="C37" s="242"/>
      <c r="D37" s="247"/>
      <c r="E37" s="247"/>
      <c r="F37" s="248"/>
      <c r="G37" s="248"/>
      <c r="H37" s="245"/>
    </row>
    <row r="38" spans="1:13">
      <c r="A38" s="240"/>
      <c r="B38" s="247"/>
      <c r="C38" s="242"/>
      <c r="D38" s="247"/>
      <c r="E38" s="247"/>
      <c r="F38" s="248"/>
      <c r="G38" s="248"/>
      <c r="H38" s="245"/>
    </row>
    <row r="39" spans="1:13">
      <c r="A39" s="249" t="s">
        <v>293</v>
      </c>
      <c r="B39" s="247"/>
      <c r="C39" s="242"/>
      <c r="D39" s="247"/>
      <c r="E39" s="247"/>
      <c r="F39" s="248"/>
      <c r="G39" s="248"/>
      <c r="H39" s="245"/>
    </row>
    <row r="40" spans="1:13">
      <c r="A40" s="422" t="s">
        <v>67</v>
      </c>
      <c r="B40" s="422"/>
      <c r="C40" s="422"/>
      <c r="D40" s="250">
        <f>SUM(D11:D39)</f>
        <v>1</v>
      </c>
      <c r="E40" s="250">
        <f>SUM(E11:E39)</f>
        <v>0</v>
      </c>
      <c r="F40" s="250">
        <f>SUM(F11:F39)</f>
        <v>1</v>
      </c>
      <c r="G40" s="250">
        <f>SUM(G11:G39)</f>
        <v>0</v>
      </c>
      <c r="H40" s="250">
        <f>SUM(H11:H39)</f>
        <v>539</v>
      </c>
    </row>
    <row r="41" spans="1:13">
      <c r="A41" s="251" t="s">
        <v>294</v>
      </c>
      <c r="B41" s="251"/>
      <c r="C41" s="251"/>
      <c r="D41" s="251"/>
      <c r="E41" s="251"/>
      <c r="F41" s="251"/>
      <c r="G41" s="251"/>
      <c r="H41" s="251"/>
      <c r="I41" s="251"/>
      <c r="J41" s="251"/>
      <c r="K41" s="251"/>
      <c r="L41" s="251"/>
      <c r="M41" s="251"/>
    </row>
    <row r="42" spans="1:13">
      <c r="A42" s="251"/>
      <c r="B42" s="251"/>
      <c r="C42" s="251"/>
      <c r="D42" s="251"/>
      <c r="E42" s="251"/>
      <c r="F42" s="251"/>
      <c r="G42" s="251"/>
      <c r="H42" s="251"/>
      <c r="I42" s="251"/>
      <c r="J42" s="251"/>
      <c r="K42" s="251"/>
      <c r="L42" s="251"/>
      <c r="M42" s="251"/>
    </row>
    <row r="43" spans="1:13" s="236" customFormat="1">
      <c r="A43" s="252"/>
      <c r="B43" s="252"/>
      <c r="C43" s="252"/>
      <c r="D43" s="252"/>
      <c r="E43" s="252"/>
      <c r="F43" s="252"/>
      <c r="G43" s="252"/>
      <c r="H43" s="253"/>
      <c r="I43" s="253"/>
      <c r="J43" s="253"/>
      <c r="K43" s="253"/>
      <c r="L43" s="253"/>
      <c r="M43" s="253"/>
    </row>
    <row r="44" spans="1:13" s="236" customFormat="1">
      <c r="A44" s="218"/>
      <c r="B44" s="218"/>
      <c r="C44" s="254"/>
      <c r="D44" s="218"/>
      <c r="E44" s="218"/>
      <c r="F44" s="218"/>
      <c r="G44" s="218"/>
      <c r="H44" s="218"/>
      <c r="I44" s="218"/>
      <c r="J44" s="218"/>
      <c r="K44" s="218"/>
      <c r="L44" s="218"/>
      <c r="M44" s="218"/>
    </row>
  </sheetData>
  <sheetProtection formatCells="0" formatColumns="0" formatRows="0" insertColumns="0" insertRows="0" insertHyperlinks="0" deleteColumns="0" deleteRows="0" selectLockedCells="1" sort="0" autoFilter="0"/>
  <mergeCells count="20">
    <mergeCell ref="A1:M1"/>
    <mergeCell ref="A2:E2"/>
    <mergeCell ref="F2:H2"/>
    <mergeCell ref="I2:I4"/>
    <mergeCell ref="J2:M2"/>
    <mergeCell ref="A3:A4"/>
    <mergeCell ref="B3:B4"/>
    <mergeCell ref="C3:E3"/>
    <mergeCell ref="H3:H4"/>
    <mergeCell ref="J3:L3"/>
    <mergeCell ref="A40:C40"/>
    <mergeCell ref="M3:M4"/>
    <mergeCell ref="A6:H6"/>
    <mergeCell ref="A8:H8"/>
    <mergeCell ref="A9:A10"/>
    <mergeCell ref="B9:B10"/>
    <mergeCell ref="C9:C10"/>
    <mergeCell ref="D9:E9"/>
    <mergeCell ref="F9:G9"/>
    <mergeCell ref="H9:H10"/>
  </mergeCells>
  <phoneticPr fontId="1" type="noConversion"/>
  <pageMargins left="0.74803149606299213" right="0.6692913385826772" top="0.74803149606299213" bottom="0.98425196850393704" header="0.51181102362204722" footer="0.51181102362204722"/>
  <pageSetup paperSize="9" scale="78" orientation="landscape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7"/>
  <sheetViews>
    <sheetView workbookViewId="0">
      <pane xSplit="5" ySplit="3" topLeftCell="F4" activePane="bottomRight" state="frozen"/>
      <selection pane="topRight" activeCell="F1" sqref="F1"/>
      <selection pane="bottomLeft" activeCell="A4" sqref="A4"/>
      <selection pane="bottomRight" activeCell="Y9" sqref="Y9"/>
    </sheetView>
  </sheetViews>
  <sheetFormatPr defaultRowHeight="13.15"/>
  <cols>
    <col min="1" max="1" width="4.625" style="255" customWidth="1"/>
    <col min="2" max="2" width="18.25" style="255" bestFit="1" customWidth="1"/>
    <col min="3" max="4" width="4.625" style="255" customWidth="1"/>
    <col min="5" max="5" width="5.75" style="255" customWidth="1"/>
    <col min="6" max="6" width="10.5" style="255" customWidth="1"/>
    <col min="7" max="8" width="8.125" style="255" customWidth="1"/>
    <col min="9" max="9" width="11.5" style="255" customWidth="1"/>
    <col min="10" max="11" width="8.125" style="255" customWidth="1"/>
    <col min="12" max="12" width="8" style="255" customWidth="1"/>
    <col min="13" max="14" width="8.125" style="255" customWidth="1"/>
    <col min="15" max="15" width="9.375" style="255" customWidth="1"/>
    <col min="16" max="17" width="8.125" style="255" customWidth="1"/>
    <col min="18" max="16384" width="9" style="255"/>
  </cols>
  <sheetData>
    <row r="1" spans="1:17" ht="23.2" customHeight="1">
      <c r="A1" s="453" t="s">
        <v>334</v>
      </c>
      <c r="B1" s="453"/>
      <c r="C1" s="453"/>
      <c r="D1" s="453"/>
      <c r="E1" s="453"/>
      <c r="F1" s="453"/>
      <c r="G1" s="453"/>
      <c r="H1" s="453"/>
      <c r="I1" s="453"/>
      <c r="J1" s="453"/>
      <c r="K1" s="453"/>
      <c r="L1" s="453"/>
      <c r="M1" s="453"/>
      <c r="N1" s="453"/>
      <c r="O1" s="453"/>
      <c r="P1" s="453"/>
      <c r="Q1" s="453"/>
    </row>
    <row r="2" spans="1:17" ht="30.7" customHeight="1">
      <c r="A2" s="454" t="s">
        <v>306</v>
      </c>
      <c r="B2" s="455" t="s">
        <v>331</v>
      </c>
      <c r="C2" s="454" t="s">
        <v>307</v>
      </c>
      <c r="D2" s="454" t="s">
        <v>2</v>
      </c>
      <c r="E2" s="454" t="s">
        <v>308</v>
      </c>
      <c r="F2" s="456" t="s">
        <v>327</v>
      </c>
      <c r="G2" s="456"/>
      <c r="H2" s="457"/>
      <c r="I2" s="458" t="s">
        <v>328</v>
      </c>
      <c r="J2" s="456"/>
      <c r="K2" s="457"/>
      <c r="L2" s="458" t="s">
        <v>329</v>
      </c>
      <c r="M2" s="456"/>
      <c r="N2" s="457"/>
      <c r="O2" s="458" t="s">
        <v>330</v>
      </c>
      <c r="P2" s="456"/>
      <c r="Q2" s="457"/>
    </row>
    <row r="3" spans="1:17" ht="45.7" customHeight="1">
      <c r="A3" s="454"/>
      <c r="B3" s="455"/>
      <c r="C3" s="454"/>
      <c r="D3" s="454"/>
      <c r="E3" s="454"/>
      <c r="F3" s="262" t="s">
        <v>309</v>
      </c>
      <c r="G3" s="263" t="s">
        <v>332</v>
      </c>
      <c r="H3" s="264" t="s">
        <v>333</v>
      </c>
      <c r="I3" s="263" t="s">
        <v>309</v>
      </c>
      <c r="J3" s="263" t="s">
        <v>332</v>
      </c>
      <c r="K3" s="264" t="s">
        <v>333</v>
      </c>
      <c r="L3" s="263" t="s">
        <v>309</v>
      </c>
      <c r="M3" s="263" t="s">
        <v>332</v>
      </c>
      <c r="N3" s="263" t="s">
        <v>333</v>
      </c>
      <c r="O3" s="263" t="s">
        <v>309</v>
      </c>
      <c r="P3" s="263" t="s">
        <v>332</v>
      </c>
      <c r="Q3" s="263" t="s">
        <v>333</v>
      </c>
    </row>
    <row r="4" spans="1:17" ht="16.3">
      <c r="A4" s="258">
        <v>1</v>
      </c>
      <c r="B4" s="259" t="s">
        <v>310</v>
      </c>
      <c r="C4" s="258">
        <v>1</v>
      </c>
      <c r="D4" s="258">
        <v>2</v>
      </c>
      <c r="E4" s="261" t="s">
        <v>225</v>
      </c>
      <c r="F4" s="257">
        <v>75</v>
      </c>
      <c r="G4" s="257">
        <v>7</v>
      </c>
      <c r="H4" s="257">
        <v>68</v>
      </c>
      <c r="I4" s="257">
        <v>73</v>
      </c>
      <c r="J4" s="257">
        <v>6</v>
      </c>
      <c r="K4" s="257">
        <v>67</v>
      </c>
      <c r="L4" s="257">
        <v>76</v>
      </c>
      <c r="M4" s="257">
        <v>7</v>
      </c>
      <c r="N4" s="257">
        <v>69</v>
      </c>
      <c r="O4" s="256" t="s">
        <v>311</v>
      </c>
      <c r="P4" s="256" t="s">
        <v>311</v>
      </c>
      <c r="Q4" s="256" t="s">
        <v>311</v>
      </c>
    </row>
    <row r="5" spans="1:17" ht="16.3">
      <c r="A5" s="257">
        <v>2</v>
      </c>
      <c r="B5" s="256" t="s">
        <v>310</v>
      </c>
      <c r="C5" s="257">
        <v>1</v>
      </c>
      <c r="D5" s="257">
        <v>2</v>
      </c>
      <c r="E5" s="260" t="s">
        <v>226</v>
      </c>
      <c r="F5" s="257">
        <v>59</v>
      </c>
      <c r="G5" s="257">
        <v>5</v>
      </c>
      <c r="H5" s="257">
        <v>54</v>
      </c>
      <c r="I5" s="257">
        <v>47</v>
      </c>
      <c r="J5" s="257">
        <v>4</v>
      </c>
      <c r="K5" s="257">
        <v>43</v>
      </c>
      <c r="L5" s="257">
        <v>43</v>
      </c>
      <c r="M5" s="257">
        <v>4</v>
      </c>
      <c r="N5" s="257">
        <v>39</v>
      </c>
      <c r="O5" s="256" t="s">
        <v>311</v>
      </c>
      <c r="P5" s="256" t="s">
        <v>311</v>
      </c>
      <c r="Q5" s="256" t="s">
        <v>311</v>
      </c>
    </row>
    <row r="6" spans="1:17" ht="16.3">
      <c r="A6" s="257">
        <v>3</v>
      </c>
      <c r="B6" s="256" t="s">
        <v>312</v>
      </c>
      <c r="C6" s="257">
        <v>1</v>
      </c>
      <c r="D6" s="257">
        <v>2</v>
      </c>
      <c r="E6" s="260" t="s">
        <v>225</v>
      </c>
      <c r="F6" s="257">
        <v>72</v>
      </c>
      <c r="G6" s="257">
        <v>6</v>
      </c>
      <c r="H6" s="257">
        <v>66</v>
      </c>
      <c r="I6" s="257">
        <v>66</v>
      </c>
      <c r="J6" s="257">
        <v>6</v>
      </c>
      <c r="K6" s="257">
        <v>60</v>
      </c>
      <c r="L6" s="257">
        <v>70</v>
      </c>
      <c r="M6" s="257">
        <v>6</v>
      </c>
      <c r="N6" s="257">
        <v>64</v>
      </c>
      <c r="O6" s="256" t="s">
        <v>311</v>
      </c>
      <c r="P6" s="256" t="s">
        <v>311</v>
      </c>
      <c r="Q6" s="256" t="s">
        <v>311</v>
      </c>
    </row>
    <row r="7" spans="1:17" ht="16.3">
      <c r="A7" s="257">
        <v>4</v>
      </c>
      <c r="B7" s="256" t="s">
        <v>312</v>
      </c>
      <c r="C7" s="257">
        <v>1</v>
      </c>
      <c r="D7" s="257">
        <v>2</v>
      </c>
      <c r="E7" s="260" t="s">
        <v>226</v>
      </c>
      <c r="F7" s="257">
        <v>109</v>
      </c>
      <c r="G7" s="257">
        <v>10</v>
      </c>
      <c r="H7" s="257">
        <v>99</v>
      </c>
      <c r="I7" s="257">
        <v>127</v>
      </c>
      <c r="J7" s="257">
        <v>11</v>
      </c>
      <c r="K7" s="257">
        <v>116</v>
      </c>
      <c r="L7" s="257">
        <v>112</v>
      </c>
      <c r="M7" s="257">
        <v>10</v>
      </c>
      <c r="N7" s="257">
        <v>102</v>
      </c>
      <c r="O7" s="256" t="s">
        <v>311</v>
      </c>
      <c r="P7" s="256" t="s">
        <v>311</v>
      </c>
      <c r="Q7" s="256" t="s">
        <v>311</v>
      </c>
    </row>
    <row r="8" spans="1:17" ht="16.3">
      <c r="A8" s="257">
        <v>5</v>
      </c>
      <c r="B8" s="256" t="s">
        <v>313</v>
      </c>
      <c r="C8" s="257">
        <v>1</v>
      </c>
      <c r="D8" s="257">
        <v>2</v>
      </c>
      <c r="E8" s="260" t="s">
        <v>225</v>
      </c>
      <c r="F8" s="257">
        <v>89</v>
      </c>
      <c r="G8" s="257">
        <v>8</v>
      </c>
      <c r="H8" s="257">
        <v>81</v>
      </c>
      <c r="I8" s="257">
        <v>82</v>
      </c>
      <c r="J8" s="257">
        <v>7</v>
      </c>
      <c r="K8" s="257">
        <v>75</v>
      </c>
      <c r="L8" s="257">
        <v>95</v>
      </c>
      <c r="M8" s="257">
        <v>8</v>
      </c>
      <c r="N8" s="257">
        <v>87</v>
      </c>
      <c r="O8" s="256" t="s">
        <v>311</v>
      </c>
      <c r="P8" s="256" t="s">
        <v>311</v>
      </c>
      <c r="Q8" s="256" t="s">
        <v>311</v>
      </c>
    </row>
    <row r="9" spans="1:17" ht="16.3">
      <c r="A9" s="257">
        <v>6</v>
      </c>
      <c r="B9" s="256" t="s">
        <v>313</v>
      </c>
      <c r="C9" s="257">
        <v>1</v>
      </c>
      <c r="D9" s="257">
        <v>2</v>
      </c>
      <c r="E9" s="260" t="s">
        <v>226</v>
      </c>
      <c r="F9" s="257">
        <v>24</v>
      </c>
      <c r="G9" s="257">
        <v>2</v>
      </c>
      <c r="H9" s="257">
        <v>22</v>
      </c>
      <c r="I9" s="257">
        <v>27</v>
      </c>
      <c r="J9" s="257">
        <v>2</v>
      </c>
      <c r="K9" s="257">
        <v>25</v>
      </c>
      <c r="L9" s="257">
        <v>28</v>
      </c>
      <c r="M9" s="257">
        <v>2</v>
      </c>
      <c r="N9" s="257">
        <v>26</v>
      </c>
      <c r="O9" s="256" t="s">
        <v>311</v>
      </c>
      <c r="P9" s="256" t="s">
        <v>311</v>
      </c>
      <c r="Q9" s="256" t="s">
        <v>311</v>
      </c>
    </row>
    <row r="10" spans="1:17" ht="16.3">
      <c r="A10" s="257">
        <v>7</v>
      </c>
      <c r="B10" s="256" t="s">
        <v>314</v>
      </c>
      <c r="C10" s="257">
        <v>1</v>
      </c>
      <c r="D10" s="257">
        <v>2</v>
      </c>
      <c r="E10" s="260" t="s">
        <v>225</v>
      </c>
      <c r="F10" s="257">
        <v>72</v>
      </c>
      <c r="G10" s="257">
        <v>6</v>
      </c>
      <c r="H10" s="257">
        <v>66</v>
      </c>
      <c r="I10" s="257">
        <v>78</v>
      </c>
      <c r="J10" s="257">
        <v>7</v>
      </c>
      <c r="K10" s="257">
        <v>71</v>
      </c>
      <c r="L10" s="257">
        <v>76</v>
      </c>
      <c r="M10" s="257">
        <v>7</v>
      </c>
      <c r="N10" s="257">
        <v>69</v>
      </c>
      <c r="O10" s="256" t="s">
        <v>311</v>
      </c>
      <c r="P10" s="256" t="s">
        <v>311</v>
      </c>
      <c r="Q10" s="256" t="s">
        <v>311</v>
      </c>
    </row>
    <row r="11" spans="1:17" ht="16.3">
      <c r="A11" s="257">
        <v>8</v>
      </c>
      <c r="B11" s="256" t="s">
        <v>310</v>
      </c>
      <c r="C11" s="257">
        <v>2</v>
      </c>
      <c r="D11" s="257">
        <v>4</v>
      </c>
      <c r="E11" s="260" t="s">
        <v>225</v>
      </c>
      <c r="F11" s="257">
        <v>83</v>
      </c>
      <c r="G11" s="257">
        <v>7</v>
      </c>
      <c r="H11" s="257">
        <v>76</v>
      </c>
      <c r="I11" s="257">
        <v>69</v>
      </c>
      <c r="J11" s="257">
        <v>6</v>
      </c>
      <c r="K11" s="257">
        <v>63</v>
      </c>
      <c r="L11" s="257">
        <v>79</v>
      </c>
      <c r="M11" s="257">
        <v>7</v>
      </c>
      <c r="N11" s="257">
        <v>72</v>
      </c>
      <c r="O11" s="256" t="s">
        <v>311</v>
      </c>
      <c r="P11" s="256" t="s">
        <v>311</v>
      </c>
      <c r="Q11" s="256" t="s">
        <v>311</v>
      </c>
    </row>
    <row r="12" spans="1:17" ht="16.3">
      <c r="A12" s="257">
        <v>9</v>
      </c>
      <c r="B12" s="256" t="s">
        <v>310</v>
      </c>
      <c r="C12" s="257">
        <v>2</v>
      </c>
      <c r="D12" s="257">
        <v>4</v>
      </c>
      <c r="E12" s="260" t="s">
        <v>226</v>
      </c>
      <c r="F12" s="257">
        <v>55</v>
      </c>
      <c r="G12" s="257">
        <v>5</v>
      </c>
      <c r="H12" s="257">
        <v>50</v>
      </c>
      <c r="I12" s="257">
        <v>51</v>
      </c>
      <c r="J12" s="257">
        <v>4</v>
      </c>
      <c r="K12" s="257">
        <v>47</v>
      </c>
      <c r="L12" s="257">
        <v>47</v>
      </c>
      <c r="M12" s="257">
        <v>4</v>
      </c>
      <c r="N12" s="257">
        <v>43</v>
      </c>
      <c r="O12" s="256" t="s">
        <v>311</v>
      </c>
      <c r="P12" s="256" t="s">
        <v>311</v>
      </c>
      <c r="Q12" s="256" t="s">
        <v>311</v>
      </c>
    </row>
    <row r="13" spans="1:17" ht="16.3">
      <c r="A13" s="257">
        <v>10</v>
      </c>
      <c r="B13" s="256" t="s">
        <v>312</v>
      </c>
      <c r="C13" s="257">
        <v>2</v>
      </c>
      <c r="D13" s="257">
        <v>4</v>
      </c>
      <c r="E13" s="260" t="s">
        <v>225</v>
      </c>
      <c r="F13" s="257">
        <v>80</v>
      </c>
      <c r="G13" s="257">
        <v>7</v>
      </c>
      <c r="H13" s="257">
        <v>73</v>
      </c>
      <c r="I13" s="257">
        <v>78</v>
      </c>
      <c r="J13" s="257">
        <v>7</v>
      </c>
      <c r="K13" s="257">
        <v>71</v>
      </c>
      <c r="L13" s="257">
        <v>73</v>
      </c>
      <c r="M13" s="257">
        <v>6</v>
      </c>
      <c r="N13" s="257">
        <v>67</v>
      </c>
      <c r="O13" s="256" t="s">
        <v>311</v>
      </c>
      <c r="P13" s="256" t="s">
        <v>311</v>
      </c>
      <c r="Q13" s="256" t="s">
        <v>311</v>
      </c>
    </row>
    <row r="14" spans="1:17" ht="16.3">
      <c r="A14" s="257">
        <v>11</v>
      </c>
      <c r="B14" s="256" t="s">
        <v>312</v>
      </c>
      <c r="C14" s="257">
        <v>2</v>
      </c>
      <c r="D14" s="257">
        <v>4</v>
      </c>
      <c r="E14" s="260" t="s">
        <v>226</v>
      </c>
      <c r="F14" s="257">
        <v>95</v>
      </c>
      <c r="G14" s="257">
        <v>8</v>
      </c>
      <c r="H14" s="257">
        <v>87</v>
      </c>
      <c r="I14" s="257">
        <v>122</v>
      </c>
      <c r="J14" s="257">
        <v>11</v>
      </c>
      <c r="K14" s="257">
        <v>111</v>
      </c>
      <c r="L14" s="257">
        <v>115</v>
      </c>
      <c r="M14" s="257">
        <v>10</v>
      </c>
      <c r="N14" s="257">
        <v>105</v>
      </c>
      <c r="O14" s="256" t="s">
        <v>311</v>
      </c>
      <c r="P14" s="256" t="s">
        <v>311</v>
      </c>
      <c r="Q14" s="256" t="s">
        <v>311</v>
      </c>
    </row>
    <row r="15" spans="1:17" ht="16.3">
      <c r="A15" s="257">
        <v>12</v>
      </c>
      <c r="B15" s="256" t="s">
        <v>313</v>
      </c>
      <c r="C15" s="257">
        <v>2</v>
      </c>
      <c r="D15" s="257">
        <v>4</v>
      </c>
      <c r="E15" s="260" t="s">
        <v>225</v>
      </c>
      <c r="F15" s="257">
        <v>84</v>
      </c>
      <c r="G15" s="257">
        <v>7</v>
      </c>
      <c r="H15" s="257">
        <v>77</v>
      </c>
      <c r="I15" s="257">
        <v>82</v>
      </c>
      <c r="J15" s="257">
        <v>7</v>
      </c>
      <c r="K15" s="257">
        <v>75</v>
      </c>
      <c r="L15" s="257">
        <v>90</v>
      </c>
      <c r="M15" s="257">
        <v>8</v>
      </c>
      <c r="N15" s="257">
        <v>82</v>
      </c>
      <c r="O15" s="256" t="s">
        <v>311</v>
      </c>
      <c r="P15" s="256" t="s">
        <v>311</v>
      </c>
      <c r="Q15" s="256" t="s">
        <v>311</v>
      </c>
    </row>
    <row r="16" spans="1:17" ht="16.3">
      <c r="A16" s="257">
        <v>13</v>
      </c>
      <c r="B16" s="256" t="s">
        <v>313</v>
      </c>
      <c r="C16" s="257">
        <v>2</v>
      </c>
      <c r="D16" s="257">
        <v>4</v>
      </c>
      <c r="E16" s="260" t="s">
        <v>226</v>
      </c>
      <c r="F16" s="257">
        <v>26</v>
      </c>
      <c r="G16" s="257">
        <v>2</v>
      </c>
      <c r="H16" s="257">
        <v>24</v>
      </c>
      <c r="I16" s="257">
        <v>26</v>
      </c>
      <c r="J16" s="257">
        <v>2</v>
      </c>
      <c r="K16" s="257">
        <v>24</v>
      </c>
      <c r="L16" s="257">
        <v>23</v>
      </c>
      <c r="M16" s="257">
        <v>2</v>
      </c>
      <c r="N16" s="257">
        <v>21</v>
      </c>
      <c r="O16" s="256" t="s">
        <v>311</v>
      </c>
      <c r="P16" s="256" t="s">
        <v>311</v>
      </c>
      <c r="Q16" s="256" t="s">
        <v>311</v>
      </c>
    </row>
    <row r="17" spans="1:17" ht="16.3">
      <c r="A17" s="257">
        <v>14</v>
      </c>
      <c r="B17" s="256" t="s">
        <v>314</v>
      </c>
      <c r="C17" s="257">
        <v>2</v>
      </c>
      <c r="D17" s="257">
        <v>4</v>
      </c>
      <c r="E17" s="260" t="s">
        <v>225</v>
      </c>
      <c r="F17" s="257">
        <v>74</v>
      </c>
      <c r="G17" s="257">
        <v>7</v>
      </c>
      <c r="H17" s="257">
        <v>67</v>
      </c>
      <c r="I17" s="257">
        <v>81</v>
      </c>
      <c r="J17" s="257">
        <v>7</v>
      </c>
      <c r="K17" s="257">
        <v>74</v>
      </c>
      <c r="L17" s="257">
        <v>72</v>
      </c>
      <c r="M17" s="257">
        <v>6</v>
      </c>
      <c r="N17" s="257">
        <v>66</v>
      </c>
      <c r="O17" s="256" t="s">
        <v>311</v>
      </c>
      <c r="P17" s="256" t="s">
        <v>311</v>
      </c>
      <c r="Q17" s="256" t="s">
        <v>311</v>
      </c>
    </row>
    <row r="18" spans="1:17" ht="16.3">
      <c r="A18" s="257">
        <v>15</v>
      </c>
      <c r="B18" s="256" t="s">
        <v>315</v>
      </c>
      <c r="C18" s="257">
        <v>3</v>
      </c>
      <c r="D18" s="257">
        <v>2</v>
      </c>
      <c r="E18" s="260" t="s">
        <v>225</v>
      </c>
      <c r="F18" s="257">
        <v>74</v>
      </c>
      <c r="G18" s="257">
        <v>7</v>
      </c>
      <c r="H18" s="257">
        <v>67</v>
      </c>
      <c r="I18" s="257">
        <v>78</v>
      </c>
      <c r="J18" s="257">
        <v>7</v>
      </c>
      <c r="K18" s="257">
        <v>71</v>
      </c>
      <c r="L18" s="257">
        <v>68</v>
      </c>
      <c r="M18" s="257">
        <v>6</v>
      </c>
      <c r="N18" s="257">
        <v>62</v>
      </c>
      <c r="O18" s="256" t="s">
        <v>311</v>
      </c>
      <c r="P18" s="256" t="s">
        <v>311</v>
      </c>
      <c r="Q18" s="256" t="s">
        <v>311</v>
      </c>
    </row>
    <row r="19" spans="1:17" ht="16.3">
      <c r="A19" s="257">
        <v>16</v>
      </c>
      <c r="B19" s="256" t="s">
        <v>315</v>
      </c>
      <c r="C19" s="257">
        <v>3</v>
      </c>
      <c r="D19" s="257">
        <v>2</v>
      </c>
      <c r="E19" s="260" t="s">
        <v>226</v>
      </c>
      <c r="F19" s="257">
        <v>39</v>
      </c>
      <c r="G19" s="257">
        <v>3</v>
      </c>
      <c r="H19" s="257">
        <v>36</v>
      </c>
      <c r="I19" s="257">
        <v>34</v>
      </c>
      <c r="J19" s="257">
        <v>3</v>
      </c>
      <c r="K19" s="257">
        <v>31</v>
      </c>
      <c r="L19" s="257">
        <v>31</v>
      </c>
      <c r="M19" s="257">
        <v>3</v>
      </c>
      <c r="N19" s="257">
        <v>28</v>
      </c>
      <c r="O19" s="256" t="s">
        <v>311</v>
      </c>
      <c r="P19" s="256" t="s">
        <v>311</v>
      </c>
      <c r="Q19" s="256" t="s">
        <v>311</v>
      </c>
    </row>
    <row r="20" spans="1:17" ht="16.3">
      <c r="A20" s="257">
        <v>17</v>
      </c>
      <c r="B20" s="256" t="s">
        <v>316</v>
      </c>
      <c r="C20" s="257">
        <v>3</v>
      </c>
      <c r="D20" s="257">
        <v>2</v>
      </c>
      <c r="E20" s="260" t="s">
        <v>225</v>
      </c>
      <c r="F20" s="257">
        <v>51</v>
      </c>
      <c r="G20" s="257">
        <v>4</v>
      </c>
      <c r="H20" s="257">
        <v>47</v>
      </c>
      <c r="I20" s="257">
        <v>53</v>
      </c>
      <c r="J20" s="257">
        <v>5</v>
      </c>
      <c r="K20" s="257">
        <v>48</v>
      </c>
      <c r="L20" s="257">
        <v>41</v>
      </c>
      <c r="M20" s="257">
        <v>4</v>
      </c>
      <c r="N20" s="257">
        <v>37</v>
      </c>
      <c r="O20" s="256" t="s">
        <v>311</v>
      </c>
      <c r="P20" s="256" t="s">
        <v>311</v>
      </c>
      <c r="Q20" s="256" t="s">
        <v>311</v>
      </c>
    </row>
    <row r="21" spans="1:17" ht="16.3">
      <c r="A21" s="257">
        <v>18</v>
      </c>
      <c r="B21" s="256" t="s">
        <v>310</v>
      </c>
      <c r="C21" s="257">
        <v>3</v>
      </c>
      <c r="D21" s="257">
        <v>6</v>
      </c>
      <c r="E21" s="260" t="s">
        <v>225</v>
      </c>
      <c r="F21" s="257">
        <v>84</v>
      </c>
      <c r="G21" s="257">
        <v>7</v>
      </c>
      <c r="H21" s="257">
        <v>77</v>
      </c>
      <c r="I21" s="257">
        <v>86</v>
      </c>
      <c r="J21" s="257">
        <v>8</v>
      </c>
      <c r="K21" s="257">
        <v>78</v>
      </c>
      <c r="L21" s="257">
        <v>89</v>
      </c>
      <c r="M21" s="257">
        <v>8</v>
      </c>
      <c r="N21" s="257">
        <v>81</v>
      </c>
      <c r="O21" s="256" t="s">
        <v>311</v>
      </c>
      <c r="P21" s="256" t="s">
        <v>311</v>
      </c>
      <c r="Q21" s="256" t="s">
        <v>311</v>
      </c>
    </row>
    <row r="22" spans="1:17" ht="16.3">
      <c r="A22" s="257">
        <v>19</v>
      </c>
      <c r="B22" s="256" t="s">
        <v>310</v>
      </c>
      <c r="C22" s="257">
        <v>3</v>
      </c>
      <c r="D22" s="257">
        <v>6</v>
      </c>
      <c r="E22" s="260" t="s">
        <v>226</v>
      </c>
      <c r="F22" s="257">
        <v>55</v>
      </c>
      <c r="G22" s="257">
        <v>5</v>
      </c>
      <c r="H22" s="257">
        <v>50</v>
      </c>
      <c r="I22" s="257">
        <v>47</v>
      </c>
      <c r="J22" s="257">
        <v>4</v>
      </c>
      <c r="K22" s="257">
        <v>43</v>
      </c>
      <c r="L22" s="257">
        <v>47</v>
      </c>
      <c r="M22" s="257">
        <v>4</v>
      </c>
      <c r="N22" s="257">
        <v>43</v>
      </c>
      <c r="O22" s="256" t="s">
        <v>311</v>
      </c>
      <c r="P22" s="256" t="s">
        <v>311</v>
      </c>
      <c r="Q22" s="256" t="s">
        <v>311</v>
      </c>
    </row>
    <row r="23" spans="1:17" ht="16.3">
      <c r="A23" s="257">
        <v>20</v>
      </c>
      <c r="B23" s="256" t="s">
        <v>312</v>
      </c>
      <c r="C23" s="257">
        <v>3</v>
      </c>
      <c r="D23" s="257">
        <v>6</v>
      </c>
      <c r="E23" s="260" t="s">
        <v>225</v>
      </c>
      <c r="F23" s="257">
        <v>74</v>
      </c>
      <c r="G23" s="257">
        <v>7</v>
      </c>
      <c r="H23" s="257">
        <v>67</v>
      </c>
      <c r="I23" s="257">
        <v>82</v>
      </c>
      <c r="J23" s="257">
        <v>7</v>
      </c>
      <c r="K23" s="257">
        <v>75</v>
      </c>
      <c r="L23" s="257">
        <v>86</v>
      </c>
      <c r="M23" s="257">
        <v>8</v>
      </c>
      <c r="N23" s="257">
        <v>78</v>
      </c>
      <c r="O23" s="256" t="s">
        <v>311</v>
      </c>
      <c r="P23" s="256" t="s">
        <v>311</v>
      </c>
      <c r="Q23" s="256" t="s">
        <v>311</v>
      </c>
    </row>
    <row r="24" spans="1:17" ht="16.3">
      <c r="A24" s="257">
        <v>21</v>
      </c>
      <c r="B24" s="256" t="s">
        <v>312</v>
      </c>
      <c r="C24" s="257">
        <v>3</v>
      </c>
      <c r="D24" s="257">
        <v>6</v>
      </c>
      <c r="E24" s="260" t="s">
        <v>226</v>
      </c>
      <c r="F24" s="257">
        <v>106</v>
      </c>
      <c r="G24" s="257">
        <v>9</v>
      </c>
      <c r="H24" s="257">
        <v>97</v>
      </c>
      <c r="I24" s="257">
        <v>108</v>
      </c>
      <c r="J24" s="257">
        <v>9</v>
      </c>
      <c r="K24" s="257">
        <v>99</v>
      </c>
      <c r="L24" s="257">
        <v>119</v>
      </c>
      <c r="M24" s="257">
        <v>10</v>
      </c>
      <c r="N24" s="257">
        <v>109</v>
      </c>
      <c r="O24" s="256" t="s">
        <v>311</v>
      </c>
      <c r="P24" s="256" t="s">
        <v>311</v>
      </c>
      <c r="Q24" s="256" t="s">
        <v>311</v>
      </c>
    </row>
    <row r="25" spans="1:17" ht="16.3">
      <c r="A25" s="257">
        <v>22</v>
      </c>
      <c r="B25" s="256" t="s">
        <v>317</v>
      </c>
      <c r="C25" s="257">
        <v>3</v>
      </c>
      <c r="D25" s="257">
        <v>2</v>
      </c>
      <c r="E25" s="260" t="s">
        <v>225</v>
      </c>
      <c r="F25" s="257">
        <v>66</v>
      </c>
      <c r="G25" s="257">
        <v>6</v>
      </c>
      <c r="H25" s="257">
        <v>60</v>
      </c>
      <c r="I25" s="257">
        <v>65</v>
      </c>
      <c r="J25" s="257">
        <v>6</v>
      </c>
      <c r="K25" s="257">
        <v>59</v>
      </c>
      <c r="L25" s="257">
        <v>55</v>
      </c>
      <c r="M25" s="257">
        <v>5</v>
      </c>
      <c r="N25" s="257">
        <v>50</v>
      </c>
      <c r="O25" s="256" t="s">
        <v>311</v>
      </c>
      <c r="P25" s="256" t="s">
        <v>311</v>
      </c>
      <c r="Q25" s="256" t="s">
        <v>311</v>
      </c>
    </row>
    <row r="26" spans="1:17" ht="16.3">
      <c r="A26" s="257">
        <v>23</v>
      </c>
      <c r="B26" s="256" t="s">
        <v>317</v>
      </c>
      <c r="C26" s="257">
        <v>3</v>
      </c>
      <c r="D26" s="257">
        <v>2</v>
      </c>
      <c r="E26" s="260" t="s">
        <v>226</v>
      </c>
      <c r="F26" s="257">
        <v>21</v>
      </c>
      <c r="G26" s="257">
        <v>2</v>
      </c>
      <c r="H26" s="257">
        <v>19</v>
      </c>
      <c r="I26" s="257">
        <v>19</v>
      </c>
      <c r="J26" s="257">
        <v>2</v>
      </c>
      <c r="K26" s="257">
        <v>17</v>
      </c>
      <c r="L26" s="257">
        <v>18</v>
      </c>
      <c r="M26" s="257">
        <v>2</v>
      </c>
      <c r="N26" s="257">
        <v>16</v>
      </c>
      <c r="O26" s="256" t="s">
        <v>311</v>
      </c>
      <c r="P26" s="256" t="s">
        <v>311</v>
      </c>
      <c r="Q26" s="256" t="s">
        <v>311</v>
      </c>
    </row>
    <row r="27" spans="1:17" ht="16.3">
      <c r="A27" s="257">
        <v>24</v>
      </c>
      <c r="B27" s="256" t="s">
        <v>314</v>
      </c>
      <c r="C27" s="257">
        <v>3</v>
      </c>
      <c r="D27" s="257">
        <v>6</v>
      </c>
      <c r="E27" s="260" t="s">
        <v>225</v>
      </c>
      <c r="F27" s="257">
        <v>70</v>
      </c>
      <c r="G27" s="257">
        <v>6</v>
      </c>
      <c r="H27" s="257">
        <v>64</v>
      </c>
      <c r="I27" s="257">
        <v>88</v>
      </c>
      <c r="J27" s="257">
        <v>8</v>
      </c>
      <c r="K27" s="257">
        <v>80</v>
      </c>
      <c r="L27" s="257">
        <v>82</v>
      </c>
      <c r="M27" s="257">
        <v>7</v>
      </c>
      <c r="N27" s="257">
        <v>75</v>
      </c>
      <c r="O27" s="256" t="s">
        <v>311</v>
      </c>
      <c r="P27" s="256" t="s">
        <v>311</v>
      </c>
      <c r="Q27" s="256" t="s">
        <v>311</v>
      </c>
    </row>
    <row r="28" spans="1:17" ht="16.3">
      <c r="A28" s="257">
        <v>25</v>
      </c>
      <c r="B28" s="256" t="s">
        <v>318</v>
      </c>
      <c r="C28" s="257">
        <v>3</v>
      </c>
      <c r="D28" s="257">
        <v>2</v>
      </c>
      <c r="E28" s="260" t="s">
        <v>225</v>
      </c>
      <c r="F28" s="257">
        <v>96</v>
      </c>
      <c r="G28" s="257">
        <v>8</v>
      </c>
      <c r="H28" s="257">
        <v>88</v>
      </c>
      <c r="I28" s="257">
        <v>86</v>
      </c>
      <c r="J28" s="257">
        <v>8</v>
      </c>
      <c r="K28" s="257">
        <v>78</v>
      </c>
      <c r="L28" s="256" t="s">
        <v>311</v>
      </c>
      <c r="M28" s="256" t="s">
        <v>311</v>
      </c>
      <c r="N28" s="256" t="s">
        <v>311</v>
      </c>
      <c r="O28" s="256" t="s">
        <v>311</v>
      </c>
      <c r="P28" s="256" t="s">
        <v>311</v>
      </c>
      <c r="Q28" s="256" t="s">
        <v>311</v>
      </c>
    </row>
    <row r="29" spans="1:17" ht="43.85">
      <c r="A29" s="257">
        <v>26</v>
      </c>
      <c r="B29" s="256" t="s">
        <v>319</v>
      </c>
      <c r="C29" s="257">
        <v>3</v>
      </c>
      <c r="D29" s="257">
        <v>2</v>
      </c>
      <c r="E29" s="260" t="s">
        <v>225</v>
      </c>
      <c r="F29" s="256" t="s">
        <v>311</v>
      </c>
      <c r="G29" s="256" t="s">
        <v>311</v>
      </c>
      <c r="H29" s="256" t="s">
        <v>311</v>
      </c>
      <c r="I29" s="256" t="s">
        <v>335</v>
      </c>
      <c r="J29" s="257">
        <v>6</v>
      </c>
      <c r="K29" s="257">
        <v>62</v>
      </c>
      <c r="L29" s="256" t="s">
        <v>311</v>
      </c>
      <c r="M29" s="256" t="s">
        <v>311</v>
      </c>
      <c r="N29" s="256" t="s">
        <v>311</v>
      </c>
      <c r="O29" s="256" t="s">
        <v>337</v>
      </c>
      <c r="P29" s="257">
        <v>3</v>
      </c>
      <c r="Q29" s="257">
        <v>49</v>
      </c>
    </row>
    <row r="30" spans="1:17" ht="43.85">
      <c r="A30" s="257">
        <v>27</v>
      </c>
      <c r="B30" s="256" t="s">
        <v>319</v>
      </c>
      <c r="C30" s="257">
        <v>3</v>
      </c>
      <c r="D30" s="257">
        <v>2</v>
      </c>
      <c r="E30" s="260" t="s">
        <v>226</v>
      </c>
      <c r="F30" s="256" t="s">
        <v>311</v>
      </c>
      <c r="G30" s="256" t="s">
        <v>311</v>
      </c>
      <c r="H30" s="256" t="s">
        <v>311</v>
      </c>
      <c r="I30" s="256" t="s">
        <v>336</v>
      </c>
      <c r="J30" s="257">
        <v>2</v>
      </c>
      <c r="K30" s="257">
        <v>25</v>
      </c>
      <c r="L30" s="256" t="s">
        <v>311</v>
      </c>
      <c r="M30" s="256" t="s">
        <v>311</v>
      </c>
      <c r="N30" s="256" t="s">
        <v>311</v>
      </c>
      <c r="O30" s="256" t="s">
        <v>338</v>
      </c>
      <c r="P30" s="257">
        <v>4</v>
      </c>
      <c r="Q30" s="257">
        <v>18</v>
      </c>
    </row>
    <row r="31" spans="1:17" ht="43.85">
      <c r="A31" s="257">
        <v>28</v>
      </c>
      <c r="B31" s="256" t="s">
        <v>320</v>
      </c>
      <c r="C31" s="257">
        <v>3</v>
      </c>
      <c r="D31" s="257">
        <v>2</v>
      </c>
      <c r="E31" s="260" t="s">
        <v>225</v>
      </c>
      <c r="F31" s="256" t="s">
        <v>339</v>
      </c>
      <c r="G31" s="257">
        <v>5</v>
      </c>
      <c r="H31" s="257">
        <v>56</v>
      </c>
      <c r="I31" s="256" t="s">
        <v>311</v>
      </c>
      <c r="J31" s="256" t="s">
        <v>311</v>
      </c>
      <c r="K31" s="256" t="s">
        <v>311</v>
      </c>
      <c r="L31" s="256" t="s">
        <v>311</v>
      </c>
      <c r="M31" s="256" t="s">
        <v>311</v>
      </c>
      <c r="N31" s="256" t="s">
        <v>311</v>
      </c>
      <c r="O31" s="256" t="s">
        <v>311</v>
      </c>
      <c r="P31" s="256" t="s">
        <v>311</v>
      </c>
      <c r="Q31" s="256" t="s">
        <v>311</v>
      </c>
    </row>
    <row r="32" spans="1:17" ht="43.85">
      <c r="A32" s="257">
        <v>29</v>
      </c>
      <c r="B32" s="256" t="s">
        <v>320</v>
      </c>
      <c r="C32" s="257">
        <v>3</v>
      </c>
      <c r="D32" s="257">
        <v>2</v>
      </c>
      <c r="E32" s="260" t="s">
        <v>226</v>
      </c>
      <c r="F32" s="256" t="s">
        <v>340</v>
      </c>
      <c r="G32" s="257">
        <v>3</v>
      </c>
      <c r="H32" s="257">
        <v>30</v>
      </c>
      <c r="I32" s="256" t="s">
        <v>311</v>
      </c>
      <c r="J32" s="256" t="s">
        <v>311</v>
      </c>
      <c r="K32" s="256" t="s">
        <v>311</v>
      </c>
      <c r="L32" s="256" t="s">
        <v>311</v>
      </c>
      <c r="M32" s="256" t="s">
        <v>311</v>
      </c>
      <c r="N32" s="256" t="s">
        <v>311</v>
      </c>
      <c r="O32" s="256" t="s">
        <v>311</v>
      </c>
      <c r="P32" s="256" t="s">
        <v>311</v>
      </c>
      <c r="Q32" s="256" t="s">
        <v>311</v>
      </c>
    </row>
    <row r="33" spans="1:17" ht="16.3">
      <c r="A33" s="257">
        <v>30</v>
      </c>
      <c r="B33" s="256" t="s">
        <v>310</v>
      </c>
      <c r="C33" s="257">
        <v>4</v>
      </c>
      <c r="D33" s="257">
        <v>8</v>
      </c>
      <c r="E33" s="260" t="s">
        <v>225</v>
      </c>
      <c r="F33" s="257">
        <v>63</v>
      </c>
      <c r="G33" s="256" t="s">
        <v>311</v>
      </c>
      <c r="H33" s="257">
        <v>63</v>
      </c>
      <c r="I33" s="257">
        <v>63</v>
      </c>
      <c r="J33" s="256" t="s">
        <v>311</v>
      </c>
      <c r="K33" s="257">
        <v>63</v>
      </c>
      <c r="L33" s="257">
        <v>63</v>
      </c>
      <c r="M33" s="256" t="s">
        <v>311</v>
      </c>
      <c r="N33" s="257">
        <v>63</v>
      </c>
      <c r="O33" s="256" t="s">
        <v>311</v>
      </c>
      <c r="P33" s="256" t="s">
        <v>311</v>
      </c>
      <c r="Q33" s="256" t="s">
        <v>311</v>
      </c>
    </row>
    <row r="34" spans="1:17" ht="16.3">
      <c r="A34" s="257">
        <v>31</v>
      </c>
      <c r="B34" s="256" t="s">
        <v>310</v>
      </c>
      <c r="C34" s="257">
        <v>4</v>
      </c>
      <c r="D34" s="257">
        <v>8</v>
      </c>
      <c r="E34" s="260" t="s">
        <v>226</v>
      </c>
      <c r="F34" s="257">
        <v>47</v>
      </c>
      <c r="G34" s="257">
        <v>9</v>
      </c>
      <c r="H34" s="257">
        <v>38</v>
      </c>
      <c r="I34" s="257">
        <v>43</v>
      </c>
      <c r="J34" s="257">
        <v>9</v>
      </c>
      <c r="K34" s="257">
        <v>34</v>
      </c>
      <c r="L34" s="257">
        <v>45</v>
      </c>
      <c r="M34" s="257">
        <v>9</v>
      </c>
      <c r="N34" s="257">
        <v>36</v>
      </c>
      <c r="O34" s="256" t="s">
        <v>311</v>
      </c>
      <c r="P34" s="256" t="s">
        <v>311</v>
      </c>
      <c r="Q34" s="256" t="s">
        <v>311</v>
      </c>
    </row>
    <row r="35" spans="1:17" ht="16.3">
      <c r="A35" s="257">
        <v>32</v>
      </c>
      <c r="B35" s="256" t="s">
        <v>312</v>
      </c>
      <c r="C35" s="257">
        <v>4</v>
      </c>
      <c r="D35" s="257">
        <v>8</v>
      </c>
      <c r="E35" s="260" t="s">
        <v>225</v>
      </c>
      <c r="F35" s="257">
        <v>58</v>
      </c>
      <c r="G35" s="256" t="s">
        <v>311</v>
      </c>
      <c r="H35" s="257">
        <v>58</v>
      </c>
      <c r="I35" s="256" t="s">
        <v>311</v>
      </c>
      <c r="J35" s="256" t="s">
        <v>311</v>
      </c>
      <c r="K35" s="256" t="s">
        <v>311</v>
      </c>
      <c r="L35" s="257">
        <v>60</v>
      </c>
      <c r="M35" s="256" t="s">
        <v>311</v>
      </c>
      <c r="N35" s="257">
        <v>60</v>
      </c>
      <c r="O35" s="256" t="s">
        <v>311</v>
      </c>
      <c r="P35" s="256" t="s">
        <v>311</v>
      </c>
      <c r="Q35" s="256" t="s">
        <v>311</v>
      </c>
    </row>
    <row r="36" spans="1:17" ht="16.3">
      <c r="A36" s="257">
        <v>33</v>
      </c>
      <c r="B36" s="256" t="s">
        <v>312</v>
      </c>
      <c r="C36" s="257">
        <v>4</v>
      </c>
      <c r="D36" s="257">
        <v>8</v>
      </c>
      <c r="E36" s="260" t="s">
        <v>226</v>
      </c>
      <c r="F36" s="257">
        <v>76</v>
      </c>
      <c r="G36" s="257">
        <v>15</v>
      </c>
      <c r="H36" s="257">
        <v>61</v>
      </c>
      <c r="I36" s="256" t="s">
        <v>311</v>
      </c>
      <c r="J36" s="256" t="s">
        <v>311</v>
      </c>
      <c r="K36" s="256" t="s">
        <v>311</v>
      </c>
      <c r="L36" s="257">
        <v>58</v>
      </c>
      <c r="M36" s="257">
        <v>12</v>
      </c>
      <c r="N36" s="257">
        <v>46</v>
      </c>
      <c r="O36" s="256" t="s">
        <v>311</v>
      </c>
      <c r="P36" s="256" t="s">
        <v>311</v>
      </c>
      <c r="Q36" s="256" t="s">
        <v>311</v>
      </c>
    </row>
    <row r="37" spans="1:17" ht="16.3">
      <c r="A37" s="257">
        <v>34</v>
      </c>
      <c r="B37" s="256" t="s">
        <v>321</v>
      </c>
      <c r="C37" s="257">
        <v>4</v>
      </c>
      <c r="D37" s="257">
        <v>8</v>
      </c>
      <c r="E37" s="260" t="s">
        <v>225</v>
      </c>
      <c r="F37" s="256" t="s">
        <v>311</v>
      </c>
      <c r="G37" s="256" t="s">
        <v>311</v>
      </c>
      <c r="H37" s="256" t="s">
        <v>311</v>
      </c>
      <c r="I37" s="257">
        <v>62</v>
      </c>
      <c r="J37" s="256" t="s">
        <v>311</v>
      </c>
      <c r="K37" s="257">
        <v>62</v>
      </c>
      <c r="L37" s="256" t="s">
        <v>311</v>
      </c>
      <c r="M37" s="256" t="s">
        <v>311</v>
      </c>
      <c r="N37" s="256" t="s">
        <v>311</v>
      </c>
      <c r="O37" s="256" t="s">
        <v>311</v>
      </c>
      <c r="P37" s="256" t="s">
        <v>311</v>
      </c>
      <c r="Q37" s="256" t="s">
        <v>311</v>
      </c>
    </row>
    <row r="38" spans="1:17" ht="16.3">
      <c r="A38" s="257">
        <v>35</v>
      </c>
      <c r="B38" s="256" t="s">
        <v>321</v>
      </c>
      <c r="C38" s="257">
        <v>4</v>
      </c>
      <c r="D38" s="257">
        <v>8</v>
      </c>
      <c r="E38" s="260" t="s">
        <v>226</v>
      </c>
      <c r="F38" s="256" t="s">
        <v>311</v>
      </c>
      <c r="G38" s="256" t="s">
        <v>311</v>
      </c>
      <c r="H38" s="256" t="s">
        <v>311</v>
      </c>
      <c r="I38" s="257">
        <v>80</v>
      </c>
      <c r="J38" s="257">
        <v>16</v>
      </c>
      <c r="K38" s="257">
        <v>64</v>
      </c>
      <c r="L38" s="256" t="s">
        <v>311</v>
      </c>
      <c r="M38" s="256" t="s">
        <v>311</v>
      </c>
      <c r="N38" s="256" t="s">
        <v>311</v>
      </c>
      <c r="O38" s="256" t="s">
        <v>311</v>
      </c>
      <c r="P38" s="256" t="s">
        <v>311</v>
      </c>
      <c r="Q38" s="256" t="s">
        <v>311</v>
      </c>
    </row>
    <row r="39" spans="1:17" ht="16.3">
      <c r="A39" s="257">
        <v>36</v>
      </c>
      <c r="B39" s="256" t="s">
        <v>317</v>
      </c>
      <c r="C39" s="257">
        <v>4</v>
      </c>
      <c r="D39" s="257">
        <v>4</v>
      </c>
      <c r="E39" s="260" t="s">
        <v>225</v>
      </c>
      <c r="F39" s="257">
        <v>45</v>
      </c>
      <c r="G39" s="256" t="s">
        <v>311</v>
      </c>
      <c r="H39" s="257">
        <v>45</v>
      </c>
      <c r="I39" s="257">
        <v>45</v>
      </c>
      <c r="J39" s="257">
        <v>0</v>
      </c>
      <c r="K39" s="257">
        <v>45</v>
      </c>
      <c r="L39" s="257">
        <v>48</v>
      </c>
      <c r="M39" s="256" t="s">
        <v>311</v>
      </c>
      <c r="N39" s="257">
        <v>48</v>
      </c>
      <c r="O39" s="256" t="s">
        <v>311</v>
      </c>
      <c r="P39" s="256" t="s">
        <v>311</v>
      </c>
      <c r="Q39" s="256" t="s">
        <v>311</v>
      </c>
    </row>
    <row r="40" spans="1:17" ht="16.3">
      <c r="A40" s="257">
        <v>37</v>
      </c>
      <c r="B40" s="256" t="s">
        <v>317</v>
      </c>
      <c r="C40" s="257">
        <v>4</v>
      </c>
      <c r="D40" s="257">
        <v>4</v>
      </c>
      <c r="E40" s="260" t="s">
        <v>226</v>
      </c>
      <c r="F40" s="257">
        <v>20</v>
      </c>
      <c r="G40" s="257">
        <v>4</v>
      </c>
      <c r="H40" s="257">
        <v>16</v>
      </c>
      <c r="I40" s="257">
        <v>17</v>
      </c>
      <c r="J40" s="257">
        <v>3</v>
      </c>
      <c r="K40" s="257">
        <v>14</v>
      </c>
      <c r="L40" s="257">
        <v>16</v>
      </c>
      <c r="M40" s="257">
        <v>3</v>
      </c>
      <c r="N40" s="257">
        <v>13</v>
      </c>
      <c r="O40" s="256" t="s">
        <v>311</v>
      </c>
      <c r="P40" s="256" t="s">
        <v>311</v>
      </c>
      <c r="Q40" s="256" t="s">
        <v>311</v>
      </c>
    </row>
    <row r="41" spans="1:17" ht="16.3">
      <c r="A41" s="257">
        <v>38</v>
      </c>
      <c r="B41" s="260" t="s">
        <v>322</v>
      </c>
      <c r="C41" s="257">
        <v>4</v>
      </c>
      <c r="D41" s="257">
        <v>4</v>
      </c>
      <c r="E41" s="260" t="s">
        <v>225</v>
      </c>
      <c r="F41" s="257">
        <v>45</v>
      </c>
      <c r="G41" s="256" t="s">
        <v>311</v>
      </c>
      <c r="H41" s="257">
        <v>45</v>
      </c>
      <c r="I41" s="257">
        <v>37</v>
      </c>
      <c r="J41" s="256" t="s">
        <v>311</v>
      </c>
      <c r="K41" s="257">
        <v>37</v>
      </c>
      <c r="L41" s="257">
        <v>43</v>
      </c>
      <c r="M41" s="256" t="s">
        <v>311</v>
      </c>
      <c r="N41" s="257">
        <v>43</v>
      </c>
      <c r="O41" s="256" t="s">
        <v>311</v>
      </c>
      <c r="P41" s="256" t="s">
        <v>311</v>
      </c>
      <c r="Q41" s="256" t="s">
        <v>311</v>
      </c>
    </row>
    <row r="42" spans="1:17" ht="16.3">
      <c r="A42" s="257">
        <v>39</v>
      </c>
      <c r="B42" s="260" t="s">
        <v>322</v>
      </c>
      <c r="C42" s="257">
        <v>4</v>
      </c>
      <c r="D42" s="257">
        <v>4</v>
      </c>
      <c r="E42" s="260" t="s">
        <v>226</v>
      </c>
      <c r="F42" s="257">
        <v>20</v>
      </c>
      <c r="G42" s="257">
        <v>4</v>
      </c>
      <c r="H42" s="257">
        <v>16</v>
      </c>
      <c r="I42" s="257">
        <v>20</v>
      </c>
      <c r="J42" s="257">
        <v>4</v>
      </c>
      <c r="K42" s="257">
        <v>16</v>
      </c>
      <c r="L42" s="257">
        <v>22</v>
      </c>
      <c r="M42" s="257">
        <v>4</v>
      </c>
      <c r="N42" s="257">
        <v>18</v>
      </c>
      <c r="O42" s="256" t="s">
        <v>311</v>
      </c>
      <c r="P42" s="256" t="s">
        <v>311</v>
      </c>
      <c r="Q42" s="256" t="s">
        <v>311</v>
      </c>
    </row>
    <row r="43" spans="1:17" ht="16.3">
      <c r="A43" s="257">
        <v>40</v>
      </c>
      <c r="B43" s="256" t="s">
        <v>314</v>
      </c>
      <c r="C43" s="257">
        <v>4</v>
      </c>
      <c r="D43" s="257">
        <v>8</v>
      </c>
      <c r="E43" s="260" t="s">
        <v>225</v>
      </c>
      <c r="F43" s="257">
        <v>58</v>
      </c>
      <c r="G43" s="256" t="s">
        <v>311</v>
      </c>
      <c r="H43" s="257">
        <v>58</v>
      </c>
      <c r="I43" s="257">
        <v>55</v>
      </c>
      <c r="J43" s="256" t="s">
        <v>311</v>
      </c>
      <c r="K43" s="257">
        <v>55</v>
      </c>
      <c r="L43" s="257">
        <v>43</v>
      </c>
      <c r="M43" s="256" t="s">
        <v>311</v>
      </c>
      <c r="N43" s="257">
        <v>43</v>
      </c>
      <c r="O43" s="256" t="s">
        <v>311</v>
      </c>
      <c r="P43" s="256" t="s">
        <v>311</v>
      </c>
      <c r="Q43" s="256" t="s">
        <v>311</v>
      </c>
    </row>
    <row r="44" spans="1:17" ht="16.3">
      <c r="A44" s="257">
        <v>41</v>
      </c>
      <c r="B44" s="256" t="s">
        <v>316</v>
      </c>
      <c r="C44" s="257">
        <v>4</v>
      </c>
      <c r="D44" s="257">
        <v>8</v>
      </c>
      <c r="E44" s="260" t="s">
        <v>225</v>
      </c>
      <c r="F44" s="257">
        <v>33</v>
      </c>
      <c r="G44" s="256" t="s">
        <v>311</v>
      </c>
      <c r="H44" s="257">
        <v>33</v>
      </c>
      <c r="I44" s="257">
        <v>33</v>
      </c>
      <c r="J44" s="256" t="s">
        <v>311</v>
      </c>
      <c r="K44" s="257">
        <v>33</v>
      </c>
      <c r="L44" s="257">
        <v>27</v>
      </c>
      <c r="M44" s="256" t="s">
        <v>311</v>
      </c>
      <c r="N44" s="257">
        <v>27</v>
      </c>
      <c r="O44" s="256" t="s">
        <v>311</v>
      </c>
      <c r="P44" s="256" t="s">
        <v>311</v>
      </c>
      <c r="Q44" s="256" t="s">
        <v>311</v>
      </c>
    </row>
    <row r="45" spans="1:17" ht="16.3">
      <c r="A45" s="257">
        <v>42</v>
      </c>
      <c r="B45" s="256" t="s">
        <v>323</v>
      </c>
      <c r="C45" s="257">
        <v>4</v>
      </c>
      <c r="D45" s="257">
        <v>4</v>
      </c>
      <c r="E45" s="260" t="s">
        <v>225</v>
      </c>
      <c r="F45" s="257">
        <v>65</v>
      </c>
      <c r="G45" s="256" t="s">
        <v>311</v>
      </c>
      <c r="H45" s="257">
        <v>65</v>
      </c>
      <c r="I45" s="257">
        <v>67</v>
      </c>
      <c r="J45" s="256" t="s">
        <v>311</v>
      </c>
      <c r="K45" s="257">
        <v>67</v>
      </c>
      <c r="L45" s="257">
        <v>59</v>
      </c>
      <c r="M45" s="256" t="s">
        <v>311</v>
      </c>
      <c r="N45" s="257">
        <v>59</v>
      </c>
      <c r="O45" s="256" t="s">
        <v>311</v>
      </c>
      <c r="P45" s="256" t="s">
        <v>311</v>
      </c>
      <c r="Q45" s="256" t="s">
        <v>311</v>
      </c>
    </row>
    <row r="46" spans="1:17" ht="43.85">
      <c r="A46" s="257">
        <v>43</v>
      </c>
      <c r="B46" s="256" t="s">
        <v>319</v>
      </c>
      <c r="C46" s="257">
        <v>4</v>
      </c>
      <c r="D46" s="257">
        <v>4</v>
      </c>
      <c r="E46" s="260" t="s">
        <v>225</v>
      </c>
      <c r="F46" s="256" t="s">
        <v>341</v>
      </c>
      <c r="G46" s="256" t="s">
        <v>311</v>
      </c>
      <c r="H46" s="257">
        <v>64</v>
      </c>
      <c r="I46" s="256" t="s">
        <v>343</v>
      </c>
      <c r="J46" s="256" t="s">
        <v>311</v>
      </c>
      <c r="K46" s="257">
        <v>50</v>
      </c>
      <c r="L46" s="256" t="s">
        <v>311</v>
      </c>
      <c r="M46" s="256" t="s">
        <v>311</v>
      </c>
      <c r="N46" s="256" t="s">
        <v>311</v>
      </c>
      <c r="O46" s="256" t="s">
        <v>345</v>
      </c>
      <c r="P46" s="256" t="s">
        <v>311</v>
      </c>
      <c r="Q46" s="257">
        <v>53</v>
      </c>
    </row>
    <row r="47" spans="1:17" ht="43.85">
      <c r="A47" s="257">
        <v>44</v>
      </c>
      <c r="B47" s="256" t="s">
        <v>319</v>
      </c>
      <c r="C47" s="257">
        <v>4</v>
      </c>
      <c r="D47" s="257">
        <v>4</v>
      </c>
      <c r="E47" s="260" t="s">
        <v>226</v>
      </c>
      <c r="F47" s="256" t="s">
        <v>342</v>
      </c>
      <c r="G47" s="257">
        <v>6</v>
      </c>
      <c r="H47" s="257">
        <v>22</v>
      </c>
      <c r="I47" s="256" t="s">
        <v>344</v>
      </c>
      <c r="J47" s="257">
        <v>6</v>
      </c>
      <c r="K47" s="257">
        <v>26</v>
      </c>
      <c r="L47" s="256" t="s">
        <v>311</v>
      </c>
      <c r="M47" s="256" t="s">
        <v>311</v>
      </c>
      <c r="N47" s="256" t="s">
        <v>311</v>
      </c>
      <c r="O47" s="256" t="s">
        <v>346</v>
      </c>
      <c r="P47" s="256" t="s">
        <v>311</v>
      </c>
      <c r="Q47" s="257">
        <v>21</v>
      </c>
    </row>
    <row r="48" spans="1:17" ht="30.05">
      <c r="A48" s="257">
        <v>45</v>
      </c>
      <c r="B48" s="256" t="s">
        <v>324</v>
      </c>
      <c r="C48" s="257">
        <v>4</v>
      </c>
      <c r="D48" s="257">
        <v>4</v>
      </c>
      <c r="E48" s="260" t="s">
        <v>225</v>
      </c>
      <c r="F48" s="256" t="s">
        <v>347</v>
      </c>
      <c r="G48" s="256" t="s">
        <v>311</v>
      </c>
      <c r="H48" s="257">
        <v>50</v>
      </c>
      <c r="I48" s="256" t="s">
        <v>311</v>
      </c>
      <c r="J48" s="256" t="s">
        <v>311</v>
      </c>
      <c r="K48" s="256" t="s">
        <v>311</v>
      </c>
      <c r="L48" s="256" t="s">
        <v>311</v>
      </c>
      <c r="M48" s="256" t="s">
        <v>311</v>
      </c>
      <c r="N48" s="256" t="s">
        <v>311</v>
      </c>
      <c r="O48" s="256" t="s">
        <v>368</v>
      </c>
      <c r="P48" s="256" t="s">
        <v>311</v>
      </c>
      <c r="Q48" s="257">
        <v>50</v>
      </c>
    </row>
    <row r="49" spans="1:17" ht="30.05">
      <c r="A49" s="257">
        <v>46</v>
      </c>
      <c r="B49" s="256" t="s">
        <v>324</v>
      </c>
      <c r="C49" s="257">
        <v>4</v>
      </c>
      <c r="D49" s="257">
        <v>4</v>
      </c>
      <c r="E49" s="260" t="s">
        <v>226</v>
      </c>
      <c r="F49" s="256" t="s">
        <v>348</v>
      </c>
      <c r="G49" s="257">
        <v>5</v>
      </c>
      <c r="H49" s="257">
        <v>20</v>
      </c>
      <c r="I49" s="256" t="s">
        <v>311</v>
      </c>
      <c r="J49" s="256" t="s">
        <v>311</v>
      </c>
      <c r="K49" s="256" t="s">
        <v>311</v>
      </c>
      <c r="L49" s="256" t="s">
        <v>311</v>
      </c>
      <c r="M49" s="256" t="s">
        <v>311</v>
      </c>
      <c r="N49" s="256" t="s">
        <v>311</v>
      </c>
      <c r="O49" s="256" t="s">
        <v>367</v>
      </c>
      <c r="P49" s="256" t="s">
        <v>311</v>
      </c>
      <c r="Q49" s="257">
        <v>20</v>
      </c>
    </row>
    <row r="50" spans="1:17" ht="16.3">
      <c r="A50" s="257">
        <v>47</v>
      </c>
      <c r="B50" s="256" t="s">
        <v>310</v>
      </c>
      <c r="C50" s="257">
        <v>5</v>
      </c>
      <c r="D50" s="257">
        <v>10</v>
      </c>
      <c r="E50" s="260" t="s">
        <v>225</v>
      </c>
      <c r="F50" s="257">
        <v>57</v>
      </c>
      <c r="G50" s="256" t="s">
        <v>311</v>
      </c>
      <c r="H50" s="257">
        <v>57</v>
      </c>
      <c r="I50" s="257">
        <v>53</v>
      </c>
      <c r="J50" s="256" t="s">
        <v>311</v>
      </c>
      <c r="K50" s="257">
        <v>53</v>
      </c>
      <c r="L50" s="257">
        <v>58</v>
      </c>
      <c r="M50" s="256" t="s">
        <v>311</v>
      </c>
      <c r="N50" s="257">
        <v>58</v>
      </c>
      <c r="O50" s="256" t="s">
        <v>311</v>
      </c>
      <c r="P50" s="256" t="s">
        <v>311</v>
      </c>
      <c r="Q50" s="256" t="s">
        <v>311</v>
      </c>
    </row>
    <row r="51" spans="1:17" ht="16.3">
      <c r="A51" s="257">
        <v>48</v>
      </c>
      <c r="B51" s="256" t="s">
        <v>310</v>
      </c>
      <c r="C51" s="257">
        <v>5</v>
      </c>
      <c r="D51" s="257">
        <v>10</v>
      </c>
      <c r="E51" s="260" t="s">
        <v>226</v>
      </c>
      <c r="F51" s="257">
        <v>47</v>
      </c>
      <c r="G51" s="257">
        <v>9</v>
      </c>
      <c r="H51" s="257">
        <v>38</v>
      </c>
      <c r="I51" s="257">
        <v>42</v>
      </c>
      <c r="J51" s="257">
        <v>8</v>
      </c>
      <c r="K51" s="257">
        <v>34</v>
      </c>
      <c r="L51" s="257">
        <v>45</v>
      </c>
      <c r="M51" s="257">
        <v>9</v>
      </c>
      <c r="N51" s="257">
        <v>36</v>
      </c>
      <c r="O51" s="256" t="s">
        <v>311</v>
      </c>
      <c r="P51" s="256" t="s">
        <v>311</v>
      </c>
      <c r="Q51" s="256" t="s">
        <v>311</v>
      </c>
    </row>
    <row r="52" spans="1:17" ht="16.3">
      <c r="A52" s="257">
        <v>49</v>
      </c>
      <c r="B52" s="256" t="s">
        <v>312</v>
      </c>
      <c r="C52" s="257">
        <v>5</v>
      </c>
      <c r="D52" s="257">
        <v>10</v>
      </c>
      <c r="E52" s="260" t="s">
        <v>225</v>
      </c>
      <c r="F52" s="257">
        <v>58</v>
      </c>
      <c r="G52" s="256" t="s">
        <v>311</v>
      </c>
      <c r="H52" s="257">
        <v>58</v>
      </c>
      <c r="I52" s="256" t="s">
        <v>311</v>
      </c>
      <c r="J52" s="256" t="s">
        <v>311</v>
      </c>
      <c r="K52" s="256" t="s">
        <v>311</v>
      </c>
      <c r="L52" s="257">
        <v>62</v>
      </c>
      <c r="M52" s="256" t="s">
        <v>311</v>
      </c>
      <c r="N52" s="257">
        <v>62</v>
      </c>
      <c r="O52" s="256" t="s">
        <v>311</v>
      </c>
      <c r="P52" s="256" t="s">
        <v>311</v>
      </c>
      <c r="Q52" s="256" t="s">
        <v>311</v>
      </c>
    </row>
    <row r="53" spans="1:17" ht="16.3">
      <c r="A53" s="257">
        <v>50</v>
      </c>
      <c r="B53" s="256" t="s">
        <v>312</v>
      </c>
      <c r="C53" s="257">
        <v>5</v>
      </c>
      <c r="D53" s="257">
        <v>10</v>
      </c>
      <c r="E53" s="260" t="s">
        <v>226</v>
      </c>
      <c r="F53" s="257">
        <v>79</v>
      </c>
      <c r="G53" s="257">
        <v>16</v>
      </c>
      <c r="H53" s="257">
        <v>63</v>
      </c>
      <c r="I53" s="256" t="s">
        <v>311</v>
      </c>
      <c r="J53" s="256" t="s">
        <v>311</v>
      </c>
      <c r="K53" s="256" t="s">
        <v>311</v>
      </c>
      <c r="L53" s="257">
        <v>83</v>
      </c>
      <c r="M53" s="257">
        <v>17</v>
      </c>
      <c r="N53" s="257">
        <v>66</v>
      </c>
      <c r="O53" s="256" t="s">
        <v>311</v>
      </c>
      <c r="P53" s="256" t="s">
        <v>311</v>
      </c>
      <c r="Q53" s="256" t="s">
        <v>311</v>
      </c>
    </row>
    <row r="54" spans="1:17" ht="16.3">
      <c r="A54" s="257">
        <v>51</v>
      </c>
      <c r="B54" s="256" t="s">
        <v>321</v>
      </c>
      <c r="C54" s="257">
        <v>5</v>
      </c>
      <c r="D54" s="257">
        <v>10</v>
      </c>
      <c r="E54" s="260" t="s">
        <v>225</v>
      </c>
      <c r="F54" s="256" t="s">
        <v>311</v>
      </c>
      <c r="G54" s="256" t="s">
        <v>311</v>
      </c>
      <c r="H54" s="256" t="s">
        <v>311</v>
      </c>
      <c r="I54" s="257">
        <v>63</v>
      </c>
      <c r="J54" s="256" t="s">
        <v>311</v>
      </c>
      <c r="K54" s="257">
        <v>63</v>
      </c>
      <c r="L54" s="256" t="s">
        <v>311</v>
      </c>
      <c r="M54" s="256" t="s">
        <v>311</v>
      </c>
      <c r="N54" s="256" t="s">
        <v>311</v>
      </c>
      <c r="O54" s="256" t="s">
        <v>311</v>
      </c>
      <c r="P54" s="256" t="s">
        <v>311</v>
      </c>
      <c r="Q54" s="256" t="s">
        <v>311</v>
      </c>
    </row>
    <row r="55" spans="1:17" ht="16.3">
      <c r="A55" s="257">
        <v>52</v>
      </c>
      <c r="B55" s="256" t="s">
        <v>321</v>
      </c>
      <c r="C55" s="257">
        <v>5</v>
      </c>
      <c r="D55" s="257">
        <v>10</v>
      </c>
      <c r="E55" s="260" t="s">
        <v>226</v>
      </c>
      <c r="F55" s="256" t="s">
        <v>311</v>
      </c>
      <c r="G55" s="256" t="s">
        <v>311</v>
      </c>
      <c r="H55" s="256" t="s">
        <v>311</v>
      </c>
      <c r="I55" s="257">
        <v>95</v>
      </c>
      <c r="J55" s="257">
        <v>19</v>
      </c>
      <c r="K55" s="257">
        <v>76</v>
      </c>
      <c r="L55" s="256" t="s">
        <v>311</v>
      </c>
      <c r="M55" s="256" t="s">
        <v>311</v>
      </c>
      <c r="N55" s="256" t="s">
        <v>311</v>
      </c>
      <c r="O55" s="256" t="s">
        <v>311</v>
      </c>
      <c r="P55" s="256" t="s">
        <v>311</v>
      </c>
      <c r="Q55" s="256" t="s">
        <v>311</v>
      </c>
    </row>
    <row r="56" spans="1:17" ht="16.3">
      <c r="A56" s="257">
        <v>53</v>
      </c>
      <c r="B56" s="256" t="s">
        <v>317</v>
      </c>
      <c r="C56" s="257">
        <v>5</v>
      </c>
      <c r="D56" s="257">
        <v>6</v>
      </c>
      <c r="E56" s="260" t="s">
        <v>225</v>
      </c>
      <c r="F56" s="257">
        <v>53</v>
      </c>
      <c r="G56" s="256" t="s">
        <v>311</v>
      </c>
      <c r="H56" s="257">
        <v>53</v>
      </c>
      <c r="I56" s="257">
        <v>53</v>
      </c>
      <c r="J56" s="256" t="s">
        <v>311</v>
      </c>
      <c r="K56" s="257">
        <v>53</v>
      </c>
      <c r="L56" s="256" t="s">
        <v>311</v>
      </c>
      <c r="M56" s="256" t="s">
        <v>311</v>
      </c>
      <c r="N56" s="256" t="s">
        <v>311</v>
      </c>
      <c r="O56" s="256" t="s">
        <v>311</v>
      </c>
      <c r="P56" s="256" t="s">
        <v>311</v>
      </c>
      <c r="Q56" s="256" t="s">
        <v>311</v>
      </c>
    </row>
    <row r="57" spans="1:17" ht="16.3">
      <c r="A57" s="257">
        <v>54</v>
      </c>
      <c r="B57" s="256" t="s">
        <v>317</v>
      </c>
      <c r="C57" s="257">
        <v>5</v>
      </c>
      <c r="D57" s="257">
        <v>6</v>
      </c>
      <c r="E57" s="260" t="s">
        <v>226</v>
      </c>
      <c r="F57" s="257">
        <v>17</v>
      </c>
      <c r="G57" s="257">
        <v>3</v>
      </c>
      <c r="H57" s="257">
        <v>14</v>
      </c>
      <c r="I57" s="257">
        <v>17</v>
      </c>
      <c r="J57" s="257">
        <v>3</v>
      </c>
      <c r="K57" s="257">
        <v>14</v>
      </c>
      <c r="L57" s="256" t="s">
        <v>311</v>
      </c>
      <c r="M57" s="256" t="s">
        <v>311</v>
      </c>
      <c r="N57" s="256" t="s">
        <v>311</v>
      </c>
      <c r="O57" s="256" t="s">
        <v>311</v>
      </c>
      <c r="P57" s="256" t="s">
        <v>311</v>
      </c>
      <c r="Q57" s="256" t="s">
        <v>311</v>
      </c>
    </row>
    <row r="58" spans="1:17" ht="16.3">
      <c r="A58" s="257">
        <v>55</v>
      </c>
      <c r="B58" s="256" t="s">
        <v>325</v>
      </c>
      <c r="C58" s="257">
        <v>5</v>
      </c>
      <c r="D58" s="257">
        <v>6</v>
      </c>
      <c r="E58" s="260" t="s">
        <v>225</v>
      </c>
      <c r="F58" s="256" t="s">
        <v>311</v>
      </c>
      <c r="G58" s="256" t="s">
        <v>311</v>
      </c>
      <c r="H58" s="256" t="s">
        <v>311</v>
      </c>
      <c r="I58" s="256" t="s">
        <v>311</v>
      </c>
      <c r="J58" s="256" t="s">
        <v>311</v>
      </c>
      <c r="K58" s="256" t="s">
        <v>311</v>
      </c>
      <c r="L58" s="257">
        <v>63</v>
      </c>
      <c r="M58" s="256" t="s">
        <v>311</v>
      </c>
      <c r="N58" s="257">
        <v>63</v>
      </c>
      <c r="O58" s="256" t="s">
        <v>311</v>
      </c>
      <c r="P58" s="256" t="s">
        <v>311</v>
      </c>
      <c r="Q58" s="256" t="s">
        <v>311</v>
      </c>
    </row>
    <row r="59" spans="1:17" ht="16.3">
      <c r="A59" s="257">
        <v>56</v>
      </c>
      <c r="B59" s="256" t="s">
        <v>325</v>
      </c>
      <c r="C59" s="257">
        <v>5</v>
      </c>
      <c r="D59" s="257">
        <v>6</v>
      </c>
      <c r="E59" s="260" t="s">
        <v>226</v>
      </c>
      <c r="F59" s="256" t="s">
        <v>311</v>
      </c>
      <c r="G59" s="256" t="s">
        <v>311</v>
      </c>
      <c r="H59" s="256" t="s">
        <v>311</v>
      </c>
      <c r="I59" s="256" t="s">
        <v>311</v>
      </c>
      <c r="J59" s="256" t="s">
        <v>311</v>
      </c>
      <c r="K59" s="256" t="s">
        <v>311</v>
      </c>
      <c r="L59" s="257">
        <v>18</v>
      </c>
      <c r="M59" s="257">
        <v>4</v>
      </c>
      <c r="N59" s="257">
        <v>14</v>
      </c>
      <c r="O59" s="256" t="s">
        <v>311</v>
      </c>
      <c r="P59" s="256" t="s">
        <v>311</v>
      </c>
      <c r="Q59" s="256" t="s">
        <v>311</v>
      </c>
    </row>
    <row r="60" spans="1:17" ht="16.3">
      <c r="A60" s="257">
        <v>57</v>
      </c>
      <c r="B60" s="260" t="s">
        <v>322</v>
      </c>
      <c r="C60" s="257">
        <v>5</v>
      </c>
      <c r="D60" s="257">
        <v>6</v>
      </c>
      <c r="E60" s="260" t="s">
        <v>225</v>
      </c>
      <c r="F60" s="257">
        <v>49</v>
      </c>
      <c r="G60" s="256" t="s">
        <v>311</v>
      </c>
      <c r="H60" s="257">
        <v>49</v>
      </c>
      <c r="I60" s="257">
        <v>48</v>
      </c>
      <c r="J60" s="256" t="s">
        <v>311</v>
      </c>
      <c r="K60" s="257">
        <v>48</v>
      </c>
      <c r="L60" s="257">
        <v>43</v>
      </c>
      <c r="M60" s="256" t="s">
        <v>311</v>
      </c>
      <c r="N60" s="257">
        <v>43</v>
      </c>
      <c r="O60" s="256" t="s">
        <v>311</v>
      </c>
      <c r="P60" s="256" t="s">
        <v>311</v>
      </c>
      <c r="Q60" s="256" t="s">
        <v>311</v>
      </c>
    </row>
    <row r="61" spans="1:17" ht="16.3">
      <c r="A61" s="257">
        <v>58</v>
      </c>
      <c r="B61" s="260" t="s">
        <v>322</v>
      </c>
      <c r="C61" s="257">
        <v>5</v>
      </c>
      <c r="D61" s="257">
        <v>6</v>
      </c>
      <c r="E61" s="260" t="s">
        <v>226</v>
      </c>
      <c r="F61" s="257">
        <v>27</v>
      </c>
      <c r="G61" s="257">
        <v>5</v>
      </c>
      <c r="H61" s="257">
        <v>22</v>
      </c>
      <c r="I61" s="257">
        <v>23</v>
      </c>
      <c r="J61" s="257">
        <v>5</v>
      </c>
      <c r="K61" s="257">
        <v>18</v>
      </c>
      <c r="L61" s="257">
        <v>27</v>
      </c>
      <c r="M61" s="257">
        <v>5</v>
      </c>
      <c r="N61" s="257">
        <v>22</v>
      </c>
      <c r="O61" s="256" t="s">
        <v>311</v>
      </c>
      <c r="P61" s="256" t="s">
        <v>311</v>
      </c>
      <c r="Q61" s="256" t="s">
        <v>311</v>
      </c>
    </row>
    <row r="62" spans="1:17" ht="16.3">
      <c r="A62" s="257">
        <v>59</v>
      </c>
      <c r="B62" s="256" t="s">
        <v>314</v>
      </c>
      <c r="C62" s="257">
        <v>5</v>
      </c>
      <c r="D62" s="257">
        <v>10</v>
      </c>
      <c r="E62" s="260" t="s">
        <v>225</v>
      </c>
      <c r="F62" s="257">
        <v>67</v>
      </c>
      <c r="G62" s="256" t="s">
        <v>311</v>
      </c>
      <c r="H62" s="257">
        <v>67</v>
      </c>
      <c r="I62" s="257">
        <v>61</v>
      </c>
      <c r="J62" s="256" t="s">
        <v>311</v>
      </c>
      <c r="K62" s="257">
        <v>61</v>
      </c>
      <c r="L62" s="257">
        <v>47</v>
      </c>
      <c r="M62" s="256" t="s">
        <v>311</v>
      </c>
      <c r="N62" s="257">
        <v>47</v>
      </c>
      <c r="O62" s="256" t="s">
        <v>311</v>
      </c>
      <c r="P62" s="256" t="s">
        <v>311</v>
      </c>
      <c r="Q62" s="256" t="s">
        <v>311</v>
      </c>
    </row>
    <row r="63" spans="1:17" ht="16.3">
      <c r="A63" s="257">
        <v>60</v>
      </c>
      <c r="B63" s="256" t="s">
        <v>316</v>
      </c>
      <c r="C63" s="257">
        <v>5</v>
      </c>
      <c r="D63" s="257">
        <v>10</v>
      </c>
      <c r="E63" s="260" t="s">
        <v>225</v>
      </c>
      <c r="F63" s="257">
        <v>40</v>
      </c>
      <c r="G63" s="256" t="s">
        <v>311</v>
      </c>
      <c r="H63" s="257">
        <v>40</v>
      </c>
      <c r="I63" s="257">
        <v>38</v>
      </c>
      <c r="J63" s="256" t="s">
        <v>311</v>
      </c>
      <c r="K63" s="257">
        <v>38</v>
      </c>
      <c r="L63" s="257">
        <v>30</v>
      </c>
      <c r="M63" s="256" t="s">
        <v>311</v>
      </c>
      <c r="N63" s="257">
        <v>30</v>
      </c>
      <c r="O63" s="256" t="s">
        <v>311</v>
      </c>
      <c r="P63" s="256" t="s">
        <v>311</v>
      </c>
      <c r="Q63" s="256" t="s">
        <v>311</v>
      </c>
    </row>
    <row r="64" spans="1:17" ht="16.3">
      <c r="A64" s="257">
        <v>61</v>
      </c>
      <c r="B64" s="256" t="s">
        <v>323</v>
      </c>
      <c r="C64" s="257">
        <v>5</v>
      </c>
      <c r="D64" s="257">
        <v>6</v>
      </c>
      <c r="E64" s="260" t="s">
        <v>225</v>
      </c>
      <c r="F64" s="257">
        <v>67</v>
      </c>
      <c r="G64" s="256" t="s">
        <v>311</v>
      </c>
      <c r="H64" s="257">
        <v>67</v>
      </c>
      <c r="I64" s="257">
        <v>58</v>
      </c>
      <c r="J64" s="256" t="s">
        <v>311</v>
      </c>
      <c r="K64" s="257">
        <v>58</v>
      </c>
      <c r="L64" s="257">
        <v>59</v>
      </c>
      <c r="M64" s="256" t="s">
        <v>311</v>
      </c>
      <c r="N64" s="257">
        <v>59</v>
      </c>
      <c r="O64" s="256" t="s">
        <v>311</v>
      </c>
      <c r="P64" s="256" t="s">
        <v>311</v>
      </c>
      <c r="Q64" s="256" t="s">
        <v>311</v>
      </c>
    </row>
    <row r="65" spans="1:17" ht="43.85">
      <c r="A65" s="257">
        <v>62</v>
      </c>
      <c r="B65" s="256" t="s">
        <v>319</v>
      </c>
      <c r="C65" s="257">
        <v>5</v>
      </c>
      <c r="D65" s="257">
        <v>6</v>
      </c>
      <c r="E65" s="260" t="s">
        <v>225</v>
      </c>
      <c r="F65" s="256" t="s">
        <v>349</v>
      </c>
      <c r="G65" s="256" t="s">
        <v>311</v>
      </c>
      <c r="H65" s="257">
        <v>61</v>
      </c>
      <c r="I65" s="256" t="s">
        <v>352</v>
      </c>
      <c r="J65" s="256" t="s">
        <v>311</v>
      </c>
      <c r="K65" s="257">
        <v>50</v>
      </c>
      <c r="L65" s="256" t="s">
        <v>311</v>
      </c>
      <c r="M65" s="256" t="s">
        <v>311</v>
      </c>
      <c r="N65" s="256" t="s">
        <v>311</v>
      </c>
      <c r="O65" s="256" t="s">
        <v>354</v>
      </c>
      <c r="P65" s="256" t="s">
        <v>311</v>
      </c>
      <c r="Q65" s="257">
        <v>61</v>
      </c>
    </row>
    <row r="66" spans="1:17" ht="43.85">
      <c r="A66" s="257">
        <v>63</v>
      </c>
      <c r="B66" s="256" t="s">
        <v>319</v>
      </c>
      <c r="C66" s="257">
        <v>5</v>
      </c>
      <c r="D66" s="257">
        <v>6</v>
      </c>
      <c r="E66" s="260" t="s">
        <v>226</v>
      </c>
      <c r="F66" s="256" t="s">
        <v>350</v>
      </c>
      <c r="G66" s="257">
        <v>7</v>
      </c>
      <c r="H66" s="257">
        <v>26</v>
      </c>
      <c r="I66" s="256" t="s">
        <v>353</v>
      </c>
      <c r="J66" s="257">
        <v>5</v>
      </c>
      <c r="K66" s="257">
        <v>20</v>
      </c>
      <c r="L66" s="256" t="s">
        <v>311</v>
      </c>
      <c r="M66" s="256" t="s">
        <v>311</v>
      </c>
      <c r="N66" s="256" t="s">
        <v>311</v>
      </c>
      <c r="O66" s="256" t="s">
        <v>355</v>
      </c>
      <c r="P66" s="256" t="s">
        <v>311</v>
      </c>
      <c r="Q66" s="257">
        <v>30</v>
      </c>
    </row>
    <row r="67" spans="1:17" ht="30.05">
      <c r="A67" s="257">
        <v>64</v>
      </c>
      <c r="B67" s="256" t="s">
        <v>324</v>
      </c>
      <c r="C67" s="257">
        <v>5</v>
      </c>
      <c r="D67" s="257">
        <v>6</v>
      </c>
      <c r="E67" s="260" t="s">
        <v>225</v>
      </c>
      <c r="F67" s="256" t="s">
        <v>347</v>
      </c>
      <c r="G67" s="256" t="s">
        <v>311</v>
      </c>
      <c r="H67" s="257">
        <v>50</v>
      </c>
      <c r="I67" s="256" t="s">
        <v>311</v>
      </c>
      <c r="J67" s="256" t="s">
        <v>311</v>
      </c>
      <c r="K67" s="256" t="s">
        <v>311</v>
      </c>
      <c r="L67" s="256" t="s">
        <v>311</v>
      </c>
      <c r="M67" s="256" t="s">
        <v>311</v>
      </c>
      <c r="N67" s="256" t="s">
        <v>311</v>
      </c>
      <c r="O67" s="256" t="s">
        <v>368</v>
      </c>
      <c r="P67" s="256" t="s">
        <v>311</v>
      </c>
      <c r="Q67" s="257">
        <v>50</v>
      </c>
    </row>
    <row r="68" spans="1:17" ht="30.05">
      <c r="A68" s="257">
        <v>65</v>
      </c>
      <c r="B68" s="256" t="s">
        <v>324</v>
      </c>
      <c r="C68" s="257">
        <v>5</v>
      </c>
      <c r="D68" s="257">
        <v>6</v>
      </c>
      <c r="E68" s="260" t="s">
        <v>226</v>
      </c>
      <c r="F68" s="256" t="s">
        <v>351</v>
      </c>
      <c r="G68" s="257">
        <v>5</v>
      </c>
      <c r="H68" s="257">
        <v>22</v>
      </c>
      <c r="I68" s="256" t="s">
        <v>311</v>
      </c>
      <c r="J68" s="256" t="s">
        <v>311</v>
      </c>
      <c r="K68" s="256" t="s">
        <v>311</v>
      </c>
      <c r="L68" s="256" t="s">
        <v>311</v>
      </c>
      <c r="M68" s="256" t="s">
        <v>311</v>
      </c>
      <c r="N68" s="256" t="s">
        <v>311</v>
      </c>
      <c r="O68" s="256" t="s">
        <v>367</v>
      </c>
      <c r="P68" s="256" t="s">
        <v>311</v>
      </c>
      <c r="Q68" s="257">
        <v>20</v>
      </c>
    </row>
    <row r="69" spans="1:17" ht="16.3">
      <c r="A69" s="257">
        <v>66</v>
      </c>
      <c r="B69" s="256" t="s">
        <v>310</v>
      </c>
      <c r="C69" s="257">
        <v>6</v>
      </c>
      <c r="D69" s="257">
        <v>12</v>
      </c>
      <c r="E69" s="260" t="s">
        <v>225</v>
      </c>
      <c r="F69" s="257">
        <v>52</v>
      </c>
      <c r="G69" s="256" t="s">
        <v>311</v>
      </c>
      <c r="H69" s="257">
        <v>52</v>
      </c>
      <c r="I69" s="257">
        <v>55</v>
      </c>
      <c r="J69" s="256" t="s">
        <v>311</v>
      </c>
      <c r="K69" s="257">
        <v>55</v>
      </c>
      <c r="L69" s="257">
        <v>50</v>
      </c>
      <c r="M69" s="256" t="s">
        <v>311</v>
      </c>
      <c r="N69" s="257">
        <v>50</v>
      </c>
      <c r="O69" s="256" t="s">
        <v>311</v>
      </c>
      <c r="P69" s="256" t="s">
        <v>311</v>
      </c>
      <c r="Q69" s="256" t="s">
        <v>311</v>
      </c>
    </row>
    <row r="70" spans="1:17" ht="16.3">
      <c r="A70" s="257">
        <v>67</v>
      </c>
      <c r="B70" s="256" t="s">
        <v>310</v>
      </c>
      <c r="C70" s="257">
        <v>6</v>
      </c>
      <c r="D70" s="257">
        <v>12</v>
      </c>
      <c r="E70" s="260" t="s">
        <v>226</v>
      </c>
      <c r="F70" s="257">
        <v>41</v>
      </c>
      <c r="G70" s="257">
        <v>8</v>
      </c>
      <c r="H70" s="257">
        <v>33</v>
      </c>
      <c r="I70" s="257">
        <v>38</v>
      </c>
      <c r="J70" s="257">
        <v>8</v>
      </c>
      <c r="K70" s="257">
        <v>30</v>
      </c>
      <c r="L70" s="257">
        <v>37</v>
      </c>
      <c r="M70" s="257">
        <v>7</v>
      </c>
      <c r="N70" s="257">
        <v>30</v>
      </c>
      <c r="O70" s="256" t="s">
        <v>311</v>
      </c>
      <c r="P70" s="256" t="s">
        <v>311</v>
      </c>
      <c r="Q70" s="256" t="s">
        <v>311</v>
      </c>
    </row>
    <row r="71" spans="1:17" ht="16.3">
      <c r="A71" s="257">
        <v>68</v>
      </c>
      <c r="B71" s="256" t="s">
        <v>312</v>
      </c>
      <c r="C71" s="257">
        <v>6</v>
      </c>
      <c r="D71" s="257">
        <v>12</v>
      </c>
      <c r="E71" s="260" t="s">
        <v>225</v>
      </c>
      <c r="F71" s="257">
        <v>50</v>
      </c>
      <c r="G71" s="256" t="s">
        <v>311</v>
      </c>
      <c r="H71" s="257">
        <v>50</v>
      </c>
      <c r="I71" s="256" t="s">
        <v>311</v>
      </c>
      <c r="J71" s="256" t="s">
        <v>311</v>
      </c>
      <c r="K71" s="256" t="s">
        <v>311</v>
      </c>
      <c r="L71" s="257">
        <v>47</v>
      </c>
      <c r="M71" s="256" t="s">
        <v>311</v>
      </c>
      <c r="N71" s="257">
        <v>47</v>
      </c>
      <c r="O71" s="256" t="s">
        <v>311</v>
      </c>
      <c r="P71" s="256" t="s">
        <v>311</v>
      </c>
      <c r="Q71" s="256" t="s">
        <v>311</v>
      </c>
    </row>
    <row r="72" spans="1:17" ht="16.3">
      <c r="A72" s="257">
        <v>69</v>
      </c>
      <c r="B72" s="256" t="s">
        <v>312</v>
      </c>
      <c r="C72" s="257">
        <v>6</v>
      </c>
      <c r="D72" s="257">
        <v>12</v>
      </c>
      <c r="E72" s="260" t="s">
        <v>226</v>
      </c>
      <c r="F72" s="257">
        <v>61</v>
      </c>
      <c r="G72" s="257">
        <v>12</v>
      </c>
      <c r="H72" s="257">
        <v>49</v>
      </c>
      <c r="I72" s="256" t="s">
        <v>311</v>
      </c>
      <c r="J72" s="256" t="s">
        <v>311</v>
      </c>
      <c r="K72" s="256" t="s">
        <v>311</v>
      </c>
      <c r="L72" s="257">
        <v>43</v>
      </c>
      <c r="M72" s="257">
        <v>9</v>
      </c>
      <c r="N72" s="257">
        <v>34</v>
      </c>
      <c r="O72" s="256" t="s">
        <v>311</v>
      </c>
      <c r="P72" s="256" t="s">
        <v>311</v>
      </c>
      <c r="Q72" s="256" t="s">
        <v>311</v>
      </c>
    </row>
    <row r="73" spans="1:17" ht="16.3">
      <c r="A73" s="257">
        <v>70</v>
      </c>
      <c r="B73" s="256" t="s">
        <v>321</v>
      </c>
      <c r="C73" s="257">
        <v>6</v>
      </c>
      <c r="D73" s="257">
        <v>12</v>
      </c>
      <c r="E73" s="260" t="s">
        <v>225</v>
      </c>
      <c r="F73" s="256" t="s">
        <v>311</v>
      </c>
      <c r="G73" s="256" t="s">
        <v>311</v>
      </c>
      <c r="H73" s="256" t="s">
        <v>311</v>
      </c>
      <c r="I73" s="257">
        <v>57</v>
      </c>
      <c r="J73" s="256" t="s">
        <v>311</v>
      </c>
      <c r="K73" s="257">
        <v>57</v>
      </c>
      <c r="L73" s="256" t="s">
        <v>311</v>
      </c>
      <c r="M73" s="256" t="s">
        <v>311</v>
      </c>
      <c r="N73" s="256" t="s">
        <v>311</v>
      </c>
      <c r="O73" s="256" t="s">
        <v>311</v>
      </c>
      <c r="P73" s="256" t="s">
        <v>311</v>
      </c>
      <c r="Q73" s="256" t="s">
        <v>311</v>
      </c>
    </row>
    <row r="74" spans="1:17" ht="16.3">
      <c r="A74" s="257">
        <v>71</v>
      </c>
      <c r="B74" s="256" t="s">
        <v>321</v>
      </c>
      <c r="C74" s="257">
        <v>6</v>
      </c>
      <c r="D74" s="257">
        <v>12</v>
      </c>
      <c r="E74" s="260" t="s">
        <v>226</v>
      </c>
      <c r="F74" s="256" t="s">
        <v>311</v>
      </c>
      <c r="G74" s="256" t="s">
        <v>311</v>
      </c>
      <c r="H74" s="256" t="s">
        <v>311</v>
      </c>
      <c r="I74" s="257">
        <v>67</v>
      </c>
      <c r="J74" s="257">
        <v>13</v>
      </c>
      <c r="K74" s="257">
        <v>54</v>
      </c>
      <c r="L74" s="256" t="s">
        <v>311</v>
      </c>
      <c r="M74" s="256" t="s">
        <v>311</v>
      </c>
      <c r="N74" s="256" t="s">
        <v>311</v>
      </c>
      <c r="O74" s="256" t="s">
        <v>311</v>
      </c>
      <c r="P74" s="256" t="s">
        <v>311</v>
      </c>
      <c r="Q74" s="256" t="s">
        <v>311</v>
      </c>
    </row>
    <row r="75" spans="1:17" ht="16.3">
      <c r="A75" s="257">
        <v>72</v>
      </c>
      <c r="B75" s="256" t="s">
        <v>317</v>
      </c>
      <c r="C75" s="257">
        <v>6</v>
      </c>
      <c r="D75" s="257">
        <v>8</v>
      </c>
      <c r="E75" s="260" t="s">
        <v>225</v>
      </c>
      <c r="F75" s="257">
        <v>48</v>
      </c>
      <c r="G75" s="256" t="s">
        <v>311</v>
      </c>
      <c r="H75" s="257">
        <v>48</v>
      </c>
      <c r="I75" s="257">
        <v>39</v>
      </c>
      <c r="J75" s="256" t="s">
        <v>311</v>
      </c>
      <c r="K75" s="257">
        <v>39</v>
      </c>
      <c r="L75" s="257">
        <v>43</v>
      </c>
      <c r="M75" s="256" t="s">
        <v>311</v>
      </c>
      <c r="N75" s="257">
        <v>43</v>
      </c>
      <c r="O75" s="256" t="s">
        <v>311</v>
      </c>
      <c r="P75" s="256" t="s">
        <v>311</v>
      </c>
      <c r="Q75" s="256" t="s">
        <v>311</v>
      </c>
    </row>
    <row r="76" spans="1:17" ht="16.3">
      <c r="A76" s="257">
        <v>73</v>
      </c>
      <c r="B76" s="256" t="s">
        <v>317</v>
      </c>
      <c r="C76" s="257">
        <v>6</v>
      </c>
      <c r="D76" s="257">
        <v>8</v>
      </c>
      <c r="E76" s="260" t="s">
        <v>226</v>
      </c>
      <c r="F76" s="257">
        <v>18</v>
      </c>
      <c r="G76" s="257">
        <v>4</v>
      </c>
      <c r="H76" s="257">
        <v>14</v>
      </c>
      <c r="I76" s="257">
        <v>11</v>
      </c>
      <c r="J76" s="257">
        <v>2</v>
      </c>
      <c r="K76" s="257">
        <v>9</v>
      </c>
      <c r="L76" s="257">
        <v>17</v>
      </c>
      <c r="M76" s="257">
        <v>3</v>
      </c>
      <c r="N76" s="257">
        <v>14</v>
      </c>
      <c r="O76" s="256" t="s">
        <v>311</v>
      </c>
      <c r="P76" s="256" t="s">
        <v>311</v>
      </c>
      <c r="Q76" s="256" t="s">
        <v>311</v>
      </c>
    </row>
    <row r="77" spans="1:17" ht="16.3">
      <c r="A77" s="257">
        <v>74</v>
      </c>
      <c r="B77" s="260" t="s">
        <v>322</v>
      </c>
      <c r="C77" s="257">
        <v>6</v>
      </c>
      <c r="D77" s="257">
        <v>8</v>
      </c>
      <c r="E77" s="260" t="s">
        <v>225</v>
      </c>
      <c r="F77" s="257">
        <v>42</v>
      </c>
      <c r="G77" s="256" t="s">
        <v>311</v>
      </c>
      <c r="H77" s="257">
        <v>42</v>
      </c>
      <c r="I77" s="257">
        <v>35</v>
      </c>
      <c r="J77" s="256" t="s">
        <v>311</v>
      </c>
      <c r="K77" s="257">
        <v>35</v>
      </c>
      <c r="L77" s="257">
        <v>38</v>
      </c>
      <c r="M77" s="256" t="s">
        <v>311</v>
      </c>
      <c r="N77" s="257">
        <v>38</v>
      </c>
      <c r="O77" s="256" t="s">
        <v>311</v>
      </c>
      <c r="P77" s="256" t="s">
        <v>311</v>
      </c>
      <c r="Q77" s="256" t="s">
        <v>311</v>
      </c>
    </row>
    <row r="78" spans="1:17" ht="16.3">
      <c r="A78" s="257">
        <v>75</v>
      </c>
      <c r="B78" s="260" t="s">
        <v>322</v>
      </c>
      <c r="C78" s="257">
        <v>6</v>
      </c>
      <c r="D78" s="257">
        <v>8</v>
      </c>
      <c r="E78" s="260" t="s">
        <v>226</v>
      </c>
      <c r="F78" s="257">
        <v>22</v>
      </c>
      <c r="G78" s="257">
        <v>4</v>
      </c>
      <c r="H78" s="257">
        <v>18</v>
      </c>
      <c r="I78" s="257">
        <v>18</v>
      </c>
      <c r="J78" s="257">
        <v>4</v>
      </c>
      <c r="K78" s="257">
        <v>14</v>
      </c>
      <c r="L78" s="257">
        <v>18</v>
      </c>
      <c r="M78" s="257">
        <v>4</v>
      </c>
      <c r="N78" s="257">
        <v>14</v>
      </c>
      <c r="O78" s="256" t="s">
        <v>311</v>
      </c>
      <c r="P78" s="256" t="s">
        <v>311</v>
      </c>
      <c r="Q78" s="256" t="s">
        <v>311</v>
      </c>
    </row>
    <row r="79" spans="1:17" ht="16.3">
      <c r="A79" s="257">
        <v>76</v>
      </c>
      <c r="B79" s="256" t="s">
        <v>314</v>
      </c>
      <c r="C79" s="257">
        <v>6</v>
      </c>
      <c r="D79" s="257">
        <v>12</v>
      </c>
      <c r="E79" s="260" t="s">
        <v>225</v>
      </c>
      <c r="F79" s="257">
        <v>60</v>
      </c>
      <c r="G79" s="256" t="s">
        <v>311</v>
      </c>
      <c r="H79" s="257">
        <v>60</v>
      </c>
      <c r="I79" s="257">
        <v>52</v>
      </c>
      <c r="J79" s="256" t="s">
        <v>311</v>
      </c>
      <c r="K79" s="257">
        <v>52</v>
      </c>
      <c r="L79" s="257">
        <v>43</v>
      </c>
      <c r="M79" s="256" t="s">
        <v>311</v>
      </c>
      <c r="N79" s="257">
        <v>43</v>
      </c>
      <c r="O79" s="256" t="s">
        <v>311</v>
      </c>
      <c r="P79" s="256" t="s">
        <v>311</v>
      </c>
      <c r="Q79" s="256" t="s">
        <v>311</v>
      </c>
    </row>
    <row r="80" spans="1:17" ht="16.3">
      <c r="A80" s="257">
        <v>77</v>
      </c>
      <c r="B80" s="256" t="s">
        <v>316</v>
      </c>
      <c r="C80" s="257">
        <v>6</v>
      </c>
      <c r="D80" s="257">
        <v>12</v>
      </c>
      <c r="E80" s="260" t="s">
        <v>225</v>
      </c>
      <c r="F80" s="257">
        <v>30</v>
      </c>
      <c r="G80" s="256" t="s">
        <v>311</v>
      </c>
      <c r="H80" s="257">
        <v>30</v>
      </c>
      <c r="I80" s="257">
        <v>31</v>
      </c>
      <c r="J80" s="256" t="s">
        <v>311</v>
      </c>
      <c r="K80" s="257">
        <v>31</v>
      </c>
      <c r="L80" s="257">
        <v>27</v>
      </c>
      <c r="M80" s="256" t="s">
        <v>311</v>
      </c>
      <c r="N80" s="257">
        <v>27</v>
      </c>
      <c r="O80" s="256" t="s">
        <v>311</v>
      </c>
      <c r="P80" s="256" t="s">
        <v>311</v>
      </c>
      <c r="Q80" s="256" t="s">
        <v>311</v>
      </c>
    </row>
    <row r="81" spans="1:17" ht="16.3">
      <c r="A81" s="257">
        <v>78</v>
      </c>
      <c r="B81" s="256" t="s">
        <v>323</v>
      </c>
      <c r="C81" s="257">
        <v>6</v>
      </c>
      <c r="D81" s="257">
        <v>8</v>
      </c>
      <c r="E81" s="260" t="s">
        <v>225</v>
      </c>
      <c r="F81" s="257">
        <v>70</v>
      </c>
      <c r="G81" s="256" t="s">
        <v>311</v>
      </c>
      <c r="H81" s="257">
        <v>70</v>
      </c>
      <c r="I81" s="257">
        <v>77</v>
      </c>
      <c r="J81" s="256" t="s">
        <v>311</v>
      </c>
      <c r="K81" s="257">
        <v>77</v>
      </c>
      <c r="L81" s="257">
        <v>59</v>
      </c>
      <c r="M81" s="256" t="s">
        <v>311</v>
      </c>
      <c r="N81" s="257">
        <v>59</v>
      </c>
      <c r="O81" s="256" t="s">
        <v>311</v>
      </c>
      <c r="P81" s="256" t="s">
        <v>311</v>
      </c>
      <c r="Q81" s="256" t="s">
        <v>311</v>
      </c>
    </row>
    <row r="82" spans="1:17" ht="43.85">
      <c r="A82" s="257">
        <v>79</v>
      </c>
      <c r="B82" s="256" t="s">
        <v>319</v>
      </c>
      <c r="C82" s="257">
        <v>6</v>
      </c>
      <c r="D82" s="257">
        <v>8</v>
      </c>
      <c r="E82" s="260" t="s">
        <v>225</v>
      </c>
      <c r="F82" s="256" t="s">
        <v>356</v>
      </c>
      <c r="G82" s="256" t="s">
        <v>311</v>
      </c>
      <c r="H82" s="257">
        <v>54</v>
      </c>
      <c r="I82" s="256" t="s">
        <v>360</v>
      </c>
      <c r="J82" s="256" t="s">
        <v>311</v>
      </c>
      <c r="K82" s="257">
        <v>49</v>
      </c>
      <c r="L82" s="256" t="s">
        <v>311</v>
      </c>
      <c r="M82" s="256" t="s">
        <v>311</v>
      </c>
      <c r="N82" s="256" t="s">
        <v>311</v>
      </c>
      <c r="O82" s="256" t="s">
        <v>362</v>
      </c>
      <c r="P82" s="256" t="s">
        <v>311</v>
      </c>
      <c r="Q82" s="257">
        <v>52</v>
      </c>
    </row>
    <row r="83" spans="1:17" ht="43.85">
      <c r="A83" s="257">
        <v>80</v>
      </c>
      <c r="B83" s="256" t="s">
        <v>319</v>
      </c>
      <c r="C83" s="257">
        <v>6</v>
      </c>
      <c r="D83" s="257">
        <v>8</v>
      </c>
      <c r="E83" s="260" t="s">
        <v>226</v>
      </c>
      <c r="F83" s="256" t="s">
        <v>357</v>
      </c>
      <c r="G83" s="257">
        <v>7</v>
      </c>
      <c r="H83" s="257">
        <v>28</v>
      </c>
      <c r="I83" s="256" t="s">
        <v>361</v>
      </c>
      <c r="J83" s="257">
        <v>5</v>
      </c>
      <c r="K83" s="257">
        <v>22</v>
      </c>
      <c r="L83" s="256" t="s">
        <v>311</v>
      </c>
      <c r="M83" s="256" t="s">
        <v>311</v>
      </c>
      <c r="N83" s="256" t="s">
        <v>311</v>
      </c>
      <c r="O83" s="256" t="s">
        <v>363</v>
      </c>
      <c r="P83" s="256" t="s">
        <v>311</v>
      </c>
      <c r="Q83" s="257">
        <v>24</v>
      </c>
    </row>
    <row r="84" spans="1:17" ht="43.85">
      <c r="A84" s="257">
        <v>81</v>
      </c>
      <c r="B84" s="256" t="s">
        <v>326</v>
      </c>
      <c r="C84" s="257">
        <v>6</v>
      </c>
      <c r="D84" s="257">
        <v>8</v>
      </c>
      <c r="E84" s="260" t="s">
        <v>225</v>
      </c>
      <c r="F84" s="256" t="s">
        <v>311</v>
      </c>
      <c r="G84" s="256" t="s">
        <v>311</v>
      </c>
      <c r="H84" s="256" t="s">
        <v>311</v>
      </c>
      <c r="I84" s="256" t="s">
        <v>311</v>
      </c>
      <c r="J84" s="256" t="s">
        <v>311</v>
      </c>
      <c r="K84" s="256" t="s">
        <v>311</v>
      </c>
      <c r="L84" s="256" t="s">
        <v>311</v>
      </c>
      <c r="M84" s="256" t="s">
        <v>311</v>
      </c>
      <c r="N84" s="256" t="s">
        <v>311</v>
      </c>
      <c r="O84" s="256" t="s">
        <v>364</v>
      </c>
      <c r="P84" s="256" t="s">
        <v>311</v>
      </c>
      <c r="Q84" s="257">
        <v>61</v>
      </c>
    </row>
    <row r="85" spans="1:17" ht="43.85">
      <c r="A85" s="257">
        <v>82</v>
      </c>
      <c r="B85" s="256" t="s">
        <v>326</v>
      </c>
      <c r="C85" s="257">
        <v>6</v>
      </c>
      <c r="D85" s="257">
        <v>8</v>
      </c>
      <c r="E85" s="260" t="s">
        <v>226</v>
      </c>
      <c r="F85" s="256" t="s">
        <v>311</v>
      </c>
      <c r="G85" s="256" t="s">
        <v>311</v>
      </c>
      <c r="H85" s="256" t="s">
        <v>311</v>
      </c>
      <c r="I85" s="256" t="s">
        <v>311</v>
      </c>
      <c r="J85" s="256" t="s">
        <v>311</v>
      </c>
      <c r="K85" s="256" t="s">
        <v>311</v>
      </c>
      <c r="L85" s="256" t="s">
        <v>311</v>
      </c>
      <c r="M85" s="256" t="s">
        <v>311</v>
      </c>
      <c r="N85" s="256" t="s">
        <v>311</v>
      </c>
      <c r="O85" s="256" t="s">
        <v>365</v>
      </c>
      <c r="P85" s="256" t="s">
        <v>311</v>
      </c>
      <c r="Q85" s="257">
        <v>20</v>
      </c>
    </row>
    <row r="86" spans="1:17" ht="30.05">
      <c r="A86" s="257">
        <v>83</v>
      </c>
      <c r="B86" s="256" t="s">
        <v>324</v>
      </c>
      <c r="C86" s="257">
        <v>6</v>
      </c>
      <c r="D86" s="257">
        <v>8</v>
      </c>
      <c r="E86" s="260" t="s">
        <v>225</v>
      </c>
      <c r="F86" s="256" t="s">
        <v>358</v>
      </c>
      <c r="G86" s="256" t="s">
        <v>311</v>
      </c>
      <c r="H86" s="257">
        <v>47</v>
      </c>
      <c r="I86" s="256" t="s">
        <v>311</v>
      </c>
      <c r="J86" s="256" t="s">
        <v>311</v>
      </c>
      <c r="K86" s="256" t="s">
        <v>311</v>
      </c>
      <c r="L86" s="256" t="s">
        <v>311</v>
      </c>
      <c r="M86" s="256" t="s">
        <v>311</v>
      </c>
      <c r="N86" s="256" t="s">
        <v>311</v>
      </c>
      <c r="O86" s="256" t="s">
        <v>366</v>
      </c>
      <c r="P86" s="256" t="s">
        <v>311</v>
      </c>
      <c r="Q86" s="257">
        <v>43</v>
      </c>
    </row>
    <row r="87" spans="1:17" ht="30.05">
      <c r="A87" s="257">
        <v>84</v>
      </c>
      <c r="B87" s="256" t="s">
        <v>324</v>
      </c>
      <c r="C87" s="257">
        <v>6</v>
      </c>
      <c r="D87" s="257">
        <v>8</v>
      </c>
      <c r="E87" s="260" t="s">
        <v>226</v>
      </c>
      <c r="F87" s="256" t="s">
        <v>359</v>
      </c>
      <c r="G87" s="257">
        <v>6</v>
      </c>
      <c r="H87" s="257">
        <v>22</v>
      </c>
      <c r="I87" s="256" t="s">
        <v>311</v>
      </c>
      <c r="J87" s="256" t="s">
        <v>311</v>
      </c>
      <c r="K87" s="256" t="s">
        <v>311</v>
      </c>
      <c r="L87" s="256" t="s">
        <v>311</v>
      </c>
      <c r="M87" s="256" t="s">
        <v>311</v>
      </c>
      <c r="N87" s="256" t="s">
        <v>311</v>
      </c>
      <c r="O87" s="256" t="s">
        <v>367</v>
      </c>
      <c r="P87" s="256" t="s">
        <v>311</v>
      </c>
      <c r="Q87" s="257">
        <v>20</v>
      </c>
    </row>
  </sheetData>
  <mergeCells count="10">
    <mergeCell ref="A1:Q1"/>
    <mergeCell ref="E2:E3"/>
    <mergeCell ref="D2:D3"/>
    <mergeCell ref="C2:C3"/>
    <mergeCell ref="B2:B3"/>
    <mergeCell ref="A2:A3"/>
    <mergeCell ref="F2:H2"/>
    <mergeCell ref="I2:K2"/>
    <mergeCell ref="L2:N2"/>
    <mergeCell ref="O2:Q2"/>
  </mergeCells>
  <phoneticPr fontId="1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27"/>
  <sheetViews>
    <sheetView workbookViewId="0">
      <pane xSplit="4" ySplit="4" topLeftCell="E5" activePane="bottomRight" state="frozen"/>
      <selection pane="topRight" activeCell="D1" sqref="D1"/>
      <selection pane="bottomLeft" activeCell="A3" sqref="A3"/>
      <selection pane="bottomRight" activeCell="J223" sqref="J223"/>
    </sheetView>
  </sheetViews>
  <sheetFormatPr defaultColWidth="9.25" defaultRowHeight="13.8"/>
  <cols>
    <col min="1" max="1" width="10.375" style="194" customWidth="1"/>
    <col min="2" max="2" width="30.375" style="132" customWidth="1"/>
    <col min="3" max="3" width="5.5" style="322" bestFit="1" customWidth="1"/>
    <col min="4" max="4" width="9.5" style="194" bestFit="1" customWidth="1"/>
    <col min="5" max="5" width="10.375" style="195" customWidth="1"/>
    <col min="6" max="6" width="7.75" style="195" customWidth="1"/>
    <col min="7" max="13" width="10.375" style="195" customWidth="1"/>
    <col min="14" max="14" width="11.375" style="132" customWidth="1"/>
    <col min="15" max="15" width="10.375" style="132" customWidth="1"/>
    <col min="16" max="16" width="10" style="132" customWidth="1"/>
    <col min="17" max="17" width="10.875" style="132" customWidth="1"/>
    <col min="18" max="18" width="12.75" style="132" customWidth="1"/>
    <col min="19" max="19" width="9.25" style="132"/>
    <col min="20" max="20" width="12" style="132" customWidth="1"/>
    <col min="21" max="21" width="9.25" style="132"/>
    <col min="22" max="22" width="9.375" style="132" bestFit="1" customWidth="1"/>
    <col min="23" max="23" width="11.375" style="132" customWidth="1"/>
    <col min="24" max="24" width="12.75" style="132" customWidth="1"/>
    <col min="25" max="26" width="9.25" style="131" hidden="1" customWidth="1"/>
    <col min="27" max="29" width="9.125" style="131" customWidth="1"/>
    <col min="30" max="16384" width="9.25" style="132"/>
  </cols>
  <sheetData>
    <row r="1" spans="1:26" ht="24.75" customHeight="1">
      <c r="A1" s="466" t="s">
        <v>112</v>
      </c>
      <c r="B1" s="467"/>
      <c r="C1" s="311"/>
      <c r="D1" s="128" t="s">
        <v>74</v>
      </c>
      <c r="E1" s="488" t="s">
        <v>44</v>
      </c>
      <c r="F1" s="488"/>
      <c r="G1" s="488"/>
      <c r="H1" s="488"/>
      <c r="I1" s="488"/>
      <c r="J1" s="483" t="s">
        <v>46</v>
      </c>
      <c r="K1" s="483"/>
      <c r="L1" s="483"/>
      <c r="M1" s="129"/>
      <c r="N1" s="130" t="s">
        <v>47</v>
      </c>
      <c r="O1" s="484" t="s">
        <v>48</v>
      </c>
      <c r="P1" s="485"/>
      <c r="Q1" s="486" t="s">
        <v>49</v>
      </c>
      <c r="R1" s="487"/>
      <c r="S1" s="479" t="s">
        <v>50</v>
      </c>
      <c r="T1" s="479"/>
      <c r="U1" s="479"/>
      <c r="V1" s="480"/>
    </row>
    <row r="2" spans="1:26" ht="16.600000000000001" customHeight="1">
      <c r="A2" s="462" t="s">
        <v>140</v>
      </c>
      <c r="B2" s="463"/>
      <c r="C2" s="312"/>
      <c r="D2" s="129" t="s">
        <v>76</v>
      </c>
      <c r="E2" s="133" t="s">
        <v>21</v>
      </c>
      <c r="F2" s="133" t="s">
        <v>22</v>
      </c>
      <c r="G2" s="133" t="s">
        <v>23</v>
      </c>
      <c r="H2" s="133" t="s">
        <v>25</v>
      </c>
      <c r="I2" s="133" t="s">
        <v>24</v>
      </c>
      <c r="J2" s="134" t="s">
        <v>26</v>
      </c>
      <c r="K2" s="134" t="s">
        <v>27</v>
      </c>
      <c r="L2" s="134" t="s">
        <v>28</v>
      </c>
      <c r="M2" s="129"/>
      <c r="N2" s="135" t="s">
        <v>29</v>
      </c>
      <c r="O2" s="136" t="s">
        <v>30</v>
      </c>
      <c r="P2" s="137" t="s">
        <v>31</v>
      </c>
      <c r="Q2" s="138" t="s">
        <v>32</v>
      </c>
      <c r="R2" s="139" t="s">
        <v>33</v>
      </c>
      <c r="S2" s="140" t="s">
        <v>34</v>
      </c>
      <c r="T2" s="141" t="s">
        <v>35</v>
      </c>
      <c r="U2" s="141" t="s">
        <v>51</v>
      </c>
      <c r="V2" s="142" t="s">
        <v>52</v>
      </c>
    </row>
    <row r="3" spans="1:26" ht="16.600000000000001" customHeight="1">
      <c r="A3" s="464"/>
      <c r="B3" s="465"/>
      <c r="C3" s="313"/>
      <c r="D3" s="129" t="s">
        <v>75</v>
      </c>
      <c r="E3" s="133"/>
      <c r="F3" s="133"/>
      <c r="G3" s="143" t="s">
        <v>36</v>
      </c>
      <c r="H3" s="144" t="s">
        <v>45</v>
      </c>
      <c r="I3" s="143" t="s">
        <v>37</v>
      </c>
      <c r="J3" s="134"/>
      <c r="K3" s="134"/>
      <c r="L3" s="145" t="s">
        <v>38</v>
      </c>
      <c r="M3" s="129"/>
      <c r="N3" s="146" t="s">
        <v>39</v>
      </c>
      <c r="O3" s="147" t="s">
        <v>40</v>
      </c>
      <c r="P3" s="148" t="s">
        <v>41</v>
      </c>
      <c r="Q3" s="149" t="s">
        <v>42</v>
      </c>
      <c r="R3" s="150" t="s">
        <v>60</v>
      </c>
      <c r="S3" s="147" t="s">
        <v>40</v>
      </c>
      <c r="T3" s="151" t="s">
        <v>43</v>
      </c>
      <c r="U3" s="152" t="s">
        <v>53</v>
      </c>
      <c r="V3" s="153" t="s">
        <v>54</v>
      </c>
      <c r="Y3" s="154" t="s">
        <v>70</v>
      </c>
      <c r="Z3" s="154" t="s">
        <v>71</v>
      </c>
    </row>
    <row r="4" spans="1:26" ht="55.75" thickBot="1">
      <c r="A4" s="155" t="s">
        <v>0</v>
      </c>
      <c r="B4" s="155" t="s">
        <v>1</v>
      </c>
      <c r="C4" s="314" t="s">
        <v>387</v>
      </c>
      <c r="D4" s="156" t="s">
        <v>2</v>
      </c>
      <c r="E4" s="157" t="s">
        <v>3</v>
      </c>
      <c r="F4" s="158" t="s">
        <v>4</v>
      </c>
      <c r="G4" s="158" t="s">
        <v>388</v>
      </c>
      <c r="H4" s="158" t="s">
        <v>379</v>
      </c>
      <c r="I4" s="158" t="s">
        <v>389</v>
      </c>
      <c r="J4" s="159" t="s">
        <v>82</v>
      </c>
      <c r="K4" s="159" t="s">
        <v>84</v>
      </c>
      <c r="L4" s="159" t="s">
        <v>83</v>
      </c>
      <c r="M4" s="160" t="s">
        <v>5</v>
      </c>
      <c r="N4" s="161" t="s">
        <v>14</v>
      </c>
      <c r="O4" s="162" t="s">
        <v>15</v>
      </c>
      <c r="P4" s="163" t="s">
        <v>16</v>
      </c>
      <c r="Q4" s="164" t="s">
        <v>80</v>
      </c>
      <c r="R4" s="164" t="s">
        <v>81</v>
      </c>
      <c r="S4" s="165" t="s">
        <v>62</v>
      </c>
      <c r="T4" s="165" t="s">
        <v>17</v>
      </c>
      <c r="U4" s="166" t="s">
        <v>55</v>
      </c>
      <c r="V4" s="26" t="s">
        <v>56</v>
      </c>
      <c r="Y4" s="167" t="s">
        <v>68</v>
      </c>
      <c r="Z4" s="167" t="s">
        <v>69</v>
      </c>
    </row>
    <row r="5" spans="1:26">
      <c r="A5" s="168" t="s">
        <v>6</v>
      </c>
      <c r="B5" s="169" t="s">
        <v>141</v>
      </c>
      <c r="C5" s="315">
        <v>1</v>
      </c>
      <c r="D5" s="170" t="s">
        <v>380</v>
      </c>
      <c r="E5" s="76"/>
      <c r="F5" s="77"/>
      <c r="G5" s="77"/>
      <c r="H5" s="78">
        <v>75</v>
      </c>
      <c r="I5" s="77"/>
      <c r="J5" s="77"/>
      <c r="K5" s="79">
        <v>7</v>
      </c>
      <c r="L5" s="77"/>
      <c r="M5" s="80"/>
      <c r="N5" s="81">
        <f>H5-K5</f>
        <v>68</v>
      </c>
      <c r="O5" s="82"/>
      <c r="P5" s="83">
        <f>N5*O5</f>
        <v>0</v>
      </c>
      <c r="Q5" s="84">
        <f>J5-O5</f>
        <v>0</v>
      </c>
      <c r="R5" s="84">
        <f>N5*Q5</f>
        <v>0</v>
      </c>
      <c r="S5" s="85"/>
      <c r="T5" s="86">
        <f t="shared" ref="T5:T36" si="0">S5*H5</f>
        <v>0</v>
      </c>
      <c r="U5" s="85"/>
      <c r="V5" s="87">
        <f>H5*U5</f>
        <v>0</v>
      </c>
      <c r="Y5" s="171">
        <f>K5*O5</f>
        <v>0</v>
      </c>
      <c r="Z5" s="171">
        <f>K5*Q5</f>
        <v>0</v>
      </c>
    </row>
    <row r="6" spans="1:26">
      <c r="A6" s="168" t="s">
        <v>6</v>
      </c>
      <c r="B6" s="169" t="s">
        <v>142</v>
      </c>
      <c r="C6" s="315">
        <v>1</v>
      </c>
      <c r="D6" s="170" t="s">
        <v>380</v>
      </c>
      <c r="E6" s="88"/>
      <c r="F6" s="89"/>
      <c r="G6" s="89"/>
      <c r="H6" s="90">
        <v>59</v>
      </c>
      <c r="I6" s="89"/>
      <c r="J6" s="89"/>
      <c r="K6" s="91">
        <v>5</v>
      </c>
      <c r="L6" s="89"/>
      <c r="M6" s="92"/>
      <c r="N6" s="93">
        <f t="shared" ref="N6:N69" si="1">H6-K6</f>
        <v>54</v>
      </c>
      <c r="O6" s="94"/>
      <c r="P6" s="95">
        <f t="shared" ref="P6:P69" si="2">N6*O6</f>
        <v>0</v>
      </c>
      <c r="Q6" s="96">
        <f t="shared" ref="Q6:Q69" si="3">J6-O6</f>
        <v>0</v>
      </c>
      <c r="R6" s="96">
        <f t="shared" ref="R6:R69" si="4">N6*Q6</f>
        <v>0</v>
      </c>
      <c r="S6" s="97"/>
      <c r="T6" s="98">
        <f t="shared" si="0"/>
        <v>0</v>
      </c>
      <c r="U6" s="97"/>
      <c r="V6" s="99">
        <f t="shared" ref="V6:V69" si="5">H6*U6</f>
        <v>0</v>
      </c>
      <c r="Y6" s="171">
        <f t="shared" ref="Y6:Y69" si="6">K6*O6</f>
        <v>0</v>
      </c>
      <c r="Z6" s="171">
        <f t="shared" ref="Z6:Z69" si="7">K6*Q6</f>
        <v>0</v>
      </c>
    </row>
    <row r="7" spans="1:26">
      <c r="A7" s="168" t="s">
        <v>6</v>
      </c>
      <c r="B7" s="169" t="s">
        <v>143</v>
      </c>
      <c r="C7" s="315">
        <v>1</v>
      </c>
      <c r="D7" s="170" t="s">
        <v>380</v>
      </c>
      <c r="E7" s="88"/>
      <c r="F7" s="89"/>
      <c r="G7" s="89"/>
      <c r="H7" s="90">
        <v>72</v>
      </c>
      <c r="I7" s="89"/>
      <c r="J7" s="89"/>
      <c r="K7" s="91">
        <v>6</v>
      </c>
      <c r="L7" s="89"/>
      <c r="M7" s="92"/>
      <c r="N7" s="93">
        <f t="shared" si="1"/>
        <v>66</v>
      </c>
      <c r="O7" s="94"/>
      <c r="P7" s="95">
        <f t="shared" si="2"/>
        <v>0</v>
      </c>
      <c r="Q7" s="96">
        <f t="shared" si="3"/>
        <v>0</v>
      </c>
      <c r="R7" s="96">
        <f t="shared" si="4"/>
        <v>0</v>
      </c>
      <c r="S7" s="97"/>
      <c r="T7" s="98">
        <f t="shared" si="0"/>
        <v>0</v>
      </c>
      <c r="U7" s="97"/>
      <c r="V7" s="99">
        <f t="shared" si="5"/>
        <v>0</v>
      </c>
      <c r="Y7" s="171">
        <f t="shared" si="6"/>
        <v>0</v>
      </c>
      <c r="Z7" s="171">
        <f t="shared" si="7"/>
        <v>0</v>
      </c>
    </row>
    <row r="8" spans="1:26">
      <c r="A8" s="168" t="s">
        <v>6</v>
      </c>
      <c r="B8" s="169" t="s">
        <v>144</v>
      </c>
      <c r="C8" s="315">
        <v>1</v>
      </c>
      <c r="D8" s="170" t="s">
        <v>380</v>
      </c>
      <c r="E8" s="88"/>
      <c r="F8" s="89"/>
      <c r="G8" s="89"/>
      <c r="H8" s="90">
        <v>109</v>
      </c>
      <c r="I8" s="89"/>
      <c r="J8" s="89"/>
      <c r="K8" s="91">
        <v>10</v>
      </c>
      <c r="L8" s="89"/>
      <c r="M8" s="92"/>
      <c r="N8" s="93">
        <f t="shared" si="1"/>
        <v>99</v>
      </c>
      <c r="O8" s="94"/>
      <c r="P8" s="95">
        <f t="shared" si="2"/>
        <v>0</v>
      </c>
      <c r="Q8" s="96">
        <f t="shared" si="3"/>
        <v>0</v>
      </c>
      <c r="R8" s="96">
        <f t="shared" si="4"/>
        <v>0</v>
      </c>
      <c r="S8" s="97"/>
      <c r="T8" s="98">
        <f t="shared" si="0"/>
        <v>0</v>
      </c>
      <c r="U8" s="97"/>
      <c r="V8" s="99">
        <f t="shared" si="5"/>
        <v>0</v>
      </c>
      <c r="Y8" s="171">
        <f t="shared" si="6"/>
        <v>0</v>
      </c>
      <c r="Z8" s="171">
        <f t="shared" si="7"/>
        <v>0</v>
      </c>
    </row>
    <row r="9" spans="1:26">
      <c r="A9" s="168" t="s">
        <v>6</v>
      </c>
      <c r="B9" s="169" t="s">
        <v>145</v>
      </c>
      <c r="C9" s="315">
        <v>1</v>
      </c>
      <c r="D9" s="170" t="s">
        <v>380</v>
      </c>
      <c r="E9" s="88"/>
      <c r="F9" s="89"/>
      <c r="G9" s="89"/>
      <c r="H9" s="90">
        <v>89</v>
      </c>
      <c r="I9" s="89"/>
      <c r="J9" s="89"/>
      <c r="K9" s="91">
        <v>8</v>
      </c>
      <c r="L9" s="89"/>
      <c r="M9" s="92"/>
      <c r="N9" s="93">
        <f t="shared" si="1"/>
        <v>81</v>
      </c>
      <c r="O9" s="94"/>
      <c r="P9" s="95">
        <f t="shared" si="2"/>
        <v>0</v>
      </c>
      <c r="Q9" s="96">
        <f t="shared" si="3"/>
        <v>0</v>
      </c>
      <c r="R9" s="96">
        <f t="shared" si="4"/>
        <v>0</v>
      </c>
      <c r="S9" s="97"/>
      <c r="T9" s="98">
        <f t="shared" si="0"/>
        <v>0</v>
      </c>
      <c r="U9" s="97"/>
      <c r="V9" s="99">
        <f t="shared" si="5"/>
        <v>0</v>
      </c>
      <c r="Y9" s="171">
        <f t="shared" si="6"/>
        <v>0</v>
      </c>
      <c r="Z9" s="171">
        <f t="shared" si="7"/>
        <v>0</v>
      </c>
    </row>
    <row r="10" spans="1:26">
      <c r="A10" s="168" t="s">
        <v>6</v>
      </c>
      <c r="B10" s="169" t="s">
        <v>146</v>
      </c>
      <c r="C10" s="315">
        <v>1</v>
      </c>
      <c r="D10" s="170" t="s">
        <v>380</v>
      </c>
      <c r="E10" s="88"/>
      <c r="F10" s="89"/>
      <c r="G10" s="89"/>
      <c r="H10" s="90">
        <v>24</v>
      </c>
      <c r="I10" s="89"/>
      <c r="J10" s="89"/>
      <c r="K10" s="91">
        <v>2</v>
      </c>
      <c r="L10" s="89"/>
      <c r="M10" s="92"/>
      <c r="N10" s="93">
        <f t="shared" si="1"/>
        <v>22</v>
      </c>
      <c r="O10" s="94"/>
      <c r="P10" s="95">
        <f t="shared" si="2"/>
        <v>0</v>
      </c>
      <c r="Q10" s="96">
        <f t="shared" si="3"/>
        <v>0</v>
      </c>
      <c r="R10" s="96">
        <f t="shared" si="4"/>
        <v>0</v>
      </c>
      <c r="S10" s="97"/>
      <c r="T10" s="98">
        <f t="shared" si="0"/>
        <v>0</v>
      </c>
      <c r="U10" s="97"/>
      <c r="V10" s="99">
        <f t="shared" si="5"/>
        <v>0</v>
      </c>
      <c r="Y10" s="171">
        <f t="shared" si="6"/>
        <v>0</v>
      </c>
      <c r="Z10" s="171">
        <f t="shared" si="7"/>
        <v>0</v>
      </c>
    </row>
    <row r="11" spans="1:26">
      <c r="A11" s="168" t="s">
        <v>6</v>
      </c>
      <c r="B11" s="172" t="s">
        <v>147</v>
      </c>
      <c r="C11" s="316">
        <v>1</v>
      </c>
      <c r="D11" s="170" t="s">
        <v>380</v>
      </c>
      <c r="E11" s="88"/>
      <c r="F11" s="89"/>
      <c r="G11" s="89"/>
      <c r="H11" s="90">
        <v>72</v>
      </c>
      <c r="I11" s="89"/>
      <c r="J11" s="89"/>
      <c r="K11" s="91">
        <v>6</v>
      </c>
      <c r="L11" s="89"/>
      <c r="M11" s="92"/>
      <c r="N11" s="93">
        <f t="shared" si="1"/>
        <v>66</v>
      </c>
      <c r="O11" s="94"/>
      <c r="P11" s="95">
        <f t="shared" si="2"/>
        <v>0</v>
      </c>
      <c r="Q11" s="96">
        <f t="shared" si="3"/>
        <v>0</v>
      </c>
      <c r="R11" s="96">
        <f t="shared" si="4"/>
        <v>0</v>
      </c>
      <c r="S11" s="97"/>
      <c r="T11" s="98">
        <f t="shared" si="0"/>
        <v>0</v>
      </c>
      <c r="U11" s="97"/>
      <c r="V11" s="99">
        <f t="shared" si="5"/>
        <v>0</v>
      </c>
      <c r="Y11" s="171">
        <f t="shared" si="6"/>
        <v>0</v>
      </c>
      <c r="Z11" s="171">
        <f t="shared" si="7"/>
        <v>0</v>
      </c>
    </row>
    <row r="12" spans="1:26">
      <c r="A12" s="168" t="s">
        <v>6</v>
      </c>
      <c r="B12" s="169" t="s">
        <v>141</v>
      </c>
      <c r="C12" s="315">
        <v>2</v>
      </c>
      <c r="D12" s="170" t="s">
        <v>382</v>
      </c>
      <c r="E12" s="88"/>
      <c r="F12" s="89"/>
      <c r="G12" s="89"/>
      <c r="H12" s="90">
        <v>83</v>
      </c>
      <c r="I12" s="89"/>
      <c r="J12" s="89"/>
      <c r="K12" s="91">
        <v>7</v>
      </c>
      <c r="L12" s="89"/>
      <c r="M12" s="92"/>
      <c r="N12" s="93">
        <f t="shared" si="1"/>
        <v>76</v>
      </c>
      <c r="O12" s="94"/>
      <c r="P12" s="95">
        <f t="shared" si="2"/>
        <v>0</v>
      </c>
      <c r="Q12" s="96">
        <f t="shared" si="3"/>
        <v>0</v>
      </c>
      <c r="R12" s="96">
        <f t="shared" si="4"/>
        <v>0</v>
      </c>
      <c r="S12" s="97"/>
      <c r="T12" s="98">
        <f t="shared" si="0"/>
        <v>0</v>
      </c>
      <c r="U12" s="97"/>
      <c r="V12" s="99">
        <f t="shared" si="5"/>
        <v>0</v>
      </c>
      <c r="Y12" s="171">
        <f t="shared" si="6"/>
        <v>0</v>
      </c>
      <c r="Z12" s="171">
        <f t="shared" si="7"/>
        <v>0</v>
      </c>
    </row>
    <row r="13" spans="1:26">
      <c r="A13" s="168" t="s">
        <v>6</v>
      </c>
      <c r="B13" s="169" t="s">
        <v>142</v>
      </c>
      <c r="C13" s="315">
        <v>2</v>
      </c>
      <c r="D13" s="170" t="s">
        <v>382</v>
      </c>
      <c r="E13" s="88"/>
      <c r="F13" s="89"/>
      <c r="G13" s="89"/>
      <c r="H13" s="90">
        <v>55</v>
      </c>
      <c r="I13" s="89"/>
      <c r="J13" s="89"/>
      <c r="K13" s="91">
        <v>5</v>
      </c>
      <c r="L13" s="89"/>
      <c r="M13" s="92"/>
      <c r="N13" s="93">
        <f t="shared" si="1"/>
        <v>50</v>
      </c>
      <c r="O13" s="94"/>
      <c r="P13" s="95">
        <f t="shared" si="2"/>
        <v>0</v>
      </c>
      <c r="Q13" s="96">
        <f t="shared" si="3"/>
        <v>0</v>
      </c>
      <c r="R13" s="96">
        <f t="shared" si="4"/>
        <v>0</v>
      </c>
      <c r="S13" s="97"/>
      <c r="T13" s="98">
        <f t="shared" si="0"/>
        <v>0</v>
      </c>
      <c r="U13" s="97"/>
      <c r="V13" s="99">
        <f t="shared" si="5"/>
        <v>0</v>
      </c>
      <c r="Y13" s="171">
        <f t="shared" si="6"/>
        <v>0</v>
      </c>
      <c r="Z13" s="171">
        <f t="shared" si="7"/>
        <v>0</v>
      </c>
    </row>
    <row r="14" spans="1:26">
      <c r="A14" s="168" t="s">
        <v>6</v>
      </c>
      <c r="B14" s="169" t="s">
        <v>143</v>
      </c>
      <c r="C14" s="315">
        <v>2</v>
      </c>
      <c r="D14" s="170" t="s">
        <v>382</v>
      </c>
      <c r="E14" s="88"/>
      <c r="F14" s="89"/>
      <c r="G14" s="89"/>
      <c r="H14" s="90">
        <v>80</v>
      </c>
      <c r="I14" s="89"/>
      <c r="J14" s="89"/>
      <c r="K14" s="91">
        <v>7</v>
      </c>
      <c r="L14" s="89"/>
      <c r="M14" s="92"/>
      <c r="N14" s="93">
        <f t="shared" si="1"/>
        <v>73</v>
      </c>
      <c r="O14" s="94"/>
      <c r="P14" s="95">
        <f t="shared" si="2"/>
        <v>0</v>
      </c>
      <c r="Q14" s="96">
        <f t="shared" si="3"/>
        <v>0</v>
      </c>
      <c r="R14" s="96">
        <f t="shared" si="4"/>
        <v>0</v>
      </c>
      <c r="S14" s="97"/>
      <c r="T14" s="98">
        <f t="shared" si="0"/>
        <v>0</v>
      </c>
      <c r="U14" s="97"/>
      <c r="V14" s="99">
        <f t="shared" si="5"/>
        <v>0</v>
      </c>
      <c r="Y14" s="171">
        <f t="shared" si="6"/>
        <v>0</v>
      </c>
      <c r="Z14" s="171">
        <f t="shared" si="7"/>
        <v>0</v>
      </c>
    </row>
    <row r="15" spans="1:26">
      <c r="A15" s="168" t="s">
        <v>6</v>
      </c>
      <c r="B15" s="169" t="s">
        <v>144</v>
      </c>
      <c r="C15" s="315">
        <v>2</v>
      </c>
      <c r="D15" s="170" t="s">
        <v>382</v>
      </c>
      <c r="E15" s="88"/>
      <c r="F15" s="89"/>
      <c r="G15" s="89"/>
      <c r="H15" s="90">
        <v>95</v>
      </c>
      <c r="I15" s="89"/>
      <c r="J15" s="89"/>
      <c r="K15" s="91">
        <v>8</v>
      </c>
      <c r="L15" s="89"/>
      <c r="M15" s="92"/>
      <c r="N15" s="93">
        <f t="shared" si="1"/>
        <v>87</v>
      </c>
      <c r="O15" s="94"/>
      <c r="P15" s="95">
        <f t="shared" si="2"/>
        <v>0</v>
      </c>
      <c r="Q15" s="96">
        <f t="shared" si="3"/>
        <v>0</v>
      </c>
      <c r="R15" s="96">
        <f t="shared" si="4"/>
        <v>0</v>
      </c>
      <c r="S15" s="97"/>
      <c r="T15" s="98">
        <f t="shared" si="0"/>
        <v>0</v>
      </c>
      <c r="U15" s="97"/>
      <c r="V15" s="99">
        <f t="shared" si="5"/>
        <v>0</v>
      </c>
      <c r="Y15" s="171">
        <f t="shared" si="6"/>
        <v>0</v>
      </c>
      <c r="Z15" s="171">
        <f t="shared" si="7"/>
        <v>0</v>
      </c>
    </row>
    <row r="16" spans="1:26">
      <c r="A16" s="168" t="s">
        <v>6</v>
      </c>
      <c r="B16" s="169" t="s">
        <v>145</v>
      </c>
      <c r="C16" s="315">
        <v>2</v>
      </c>
      <c r="D16" s="170" t="s">
        <v>382</v>
      </c>
      <c r="E16" s="88"/>
      <c r="F16" s="89"/>
      <c r="G16" s="89"/>
      <c r="H16" s="90">
        <v>84</v>
      </c>
      <c r="I16" s="89"/>
      <c r="J16" s="89"/>
      <c r="K16" s="91">
        <v>7</v>
      </c>
      <c r="L16" s="89"/>
      <c r="M16" s="92"/>
      <c r="N16" s="93">
        <f t="shared" si="1"/>
        <v>77</v>
      </c>
      <c r="O16" s="94"/>
      <c r="P16" s="95">
        <f t="shared" si="2"/>
        <v>0</v>
      </c>
      <c r="Q16" s="96">
        <f t="shared" si="3"/>
        <v>0</v>
      </c>
      <c r="R16" s="96">
        <f t="shared" si="4"/>
        <v>0</v>
      </c>
      <c r="S16" s="97"/>
      <c r="T16" s="98">
        <f t="shared" si="0"/>
        <v>0</v>
      </c>
      <c r="U16" s="97"/>
      <c r="V16" s="99">
        <f t="shared" si="5"/>
        <v>0</v>
      </c>
      <c r="Y16" s="171">
        <f t="shared" si="6"/>
        <v>0</v>
      </c>
      <c r="Z16" s="171">
        <f t="shared" si="7"/>
        <v>0</v>
      </c>
    </row>
    <row r="17" spans="1:26">
      <c r="A17" s="168" t="s">
        <v>6</v>
      </c>
      <c r="B17" s="169" t="s">
        <v>146</v>
      </c>
      <c r="C17" s="315">
        <v>2</v>
      </c>
      <c r="D17" s="170" t="s">
        <v>382</v>
      </c>
      <c r="E17" s="88"/>
      <c r="F17" s="89"/>
      <c r="G17" s="89"/>
      <c r="H17" s="90">
        <v>26</v>
      </c>
      <c r="I17" s="89"/>
      <c r="J17" s="89"/>
      <c r="K17" s="91">
        <v>2</v>
      </c>
      <c r="L17" s="89"/>
      <c r="M17" s="92"/>
      <c r="N17" s="93">
        <f t="shared" si="1"/>
        <v>24</v>
      </c>
      <c r="O17" s="94"/>
      <c r="P17" s="95">
        <f t="shared" si="2"/>
        <v>0</v>
      </c>
      <c r="Q17" s="96">
        <f t="shared" si="3"/>
        <v>0</v>
      </c>
      <c r="R17" s="96">
        <f t="shared" si="4"/>
        <v>0</v>
      </c>
      <c r="S17" s="97"/>
      <c r="T17" s="98">
        <f t="shared" si="0"/>
        <v>0</v>
      </c>
      <c r="U17" s="97"/>
      <c r="V17" s="99">
        <f t="shared" si="5"/>
        <v>0</v>
      </c>
      <c r="Y17" s="171">
        <f t="shared" si="6"/>
        <v>0</v>
      </c>
      <c r="Z17" s="171">
        <f t="shared" si="7"/>
        <v>0</v>
      </c>
    </row>
    <row r="18" spans="1:26">
      <c r="A18" s="168" t="s">
        <v>6</v>
      </c>
      <c r="B18" s="172" t="s">
        <v>147</v>
      </c>
      <c r="C18" s="316">
        <v>2</v>
      </c>
      <c r="D18" s="170" t="s">
        <v>382</v>
      </c>
      <c r="E18" s="88"/>
      <c r="F18" s="89"/>
      <c r="G18" s="89"/>
      <c r="H18" s="90">
        <v>74</v>
      </c>
      <c r="I18" s="89"/>
      <c r="J18" s="89"/>
      <c r="K18" s="91">
        <v>7</v>
      </c>
      <c r="L18" s="89"/>
      <c r="M18" s="92"/>
      <c r="N18" s="93">
        <f t="shared" si="1"/>
        <v>67</v>
      </c>
      <c r="O18" s="94"/>
      <c r="P18" s="95">
        <f t="shared" si="2"/>
        <v>0</v>
      </c>
      <c r="Q18" s="96">
        <f t="shared" si="3"/>
        <v>0</v>
      </c>
      <c r="R18" s="96">
        <f t="shared" si="4"/>
        <v>0</v>
      </c>
      <c r="S18" s="97"/>
      <c r="T18" s="98">
        <f t="shared" si="0"/>
        <v>0</v>
      </c>
      <c r="U18" s="97"/>
      <c r="V18" s="99">
        <f t="shared" si="5"/>
        <v>0</v>
      </c>
      <c r="Y18" s="171">
        <f t="shared" si="6"/>
        <v>0</v>
      </c>
      <c r="Z18" s="171">
        <f t="shared" si="7"/>
        <v>0</v>
      </c>
    </row>
    <row r="19" spans="1:26">
      <c r="A19" s="168" t="s">
        <v>6</v>
      </c>
      <c r="B19" s="169" t="s">
        <v>141</v>
      </c>
      <c r="C19" s="315">
        <v>3</v>
      </c>
      <c r="D19" s="170" t="s">
        <v>383</v>
      </c>
      <c r="E19" s="88"/>
      <c r="F19" s="89"/>
      <c r="G19" s="89"/>
      <c r="H19" s="90">
        <v>84</v>
      </c>
      <c r="I19" s="89"/>
      <c r="J19" s="89"/>
      <c r="K19" s="91">
        <v>7</v>
      </c>
      <c r="L19" s="89"/>
      <c r="M19" s="92"/>
      <c r="N19" s="93">
        <f t="shared" si="1"/>
        <v>77</v>
      </c>
      <c r="O19" s="94"/>
      <c r="P19" s="95">
        <f t="shared" si="2"/>
        <v>0</v>
      </c>
      <c r="Q19" s="96">
        <f t="shared" si="3"/>
        <v>0</v>
      </c>
      <c r="R19" s="96">
        <f t="shared" si="4"/>
        <v>0</v>
      </c>
      <c r="S19" s="97"/>
      <c r="T19" s="98">
        <f t="shared" si="0"/>
        <v>0</v>
      </c>
      <c r="U19" s="97"/>
      <c r="V19" s="99">
        <f t="shared" si="5"/>
        <v>0</v>
      </c>
      <c r="Y19" s="171">
        <f t="shared" si="6"/>
        <v>0</v>
      </c>
      <c r="Z19" s="171">
        <f t="shared" si="7"/>
        <v>0</v>
      </c>
    </row>
    <row r="20" spans="1:26">
      <c r="A20" s="168" t="s">
        <v>6</v>
      </c>
      <c r="B20" s="169" t="s">
        <v>142</v>
      </c>
      <c r="C20" s="315">
        <v>3</v>
      </c>
      <c r="D20" s="170" t="s">
        <v>383</v>
      </c>
      <c r="E20" s="88"/>
      <c r="F20" s="89"/>
      <c r="G20" s="89"/>
      <c r="H20" s="90">
        <v>55</v>
      </c>
      <c r="I20" s="89"/>
      <c r="J20" s="89"/>
      <c r="K20" s="91">
        <v>5</v>
      </c>
      <c r="L20" s="89"/>
      <c r="M20" s="92"/>
      <c r="N20" s="93">
        <f t="shared" si="1"/>
        <v>50</v>
      </c>
      <c r="O20" s="94"/>
      <c r="P20" s="95">
        <f t="shared" si="2"/>
        <v>0</v>
      </c>
      <c r="Q20" s="96">
        <f t="shared" si="3"/>
        <v>0</v>
      </c>
      <c r="R20" s="96">
        <f t="shared" si="4"/>
        <v>0</v>
      </c>
      <c r="S20" s="97"/>
      <c r="T20" s="98">
        <f t="shared" si="0"/>
        <v>0</v>
      </c>
      <c r="U20" s="97"/>
      <c r="V20" s="99">
        <f t="shared" si="5"/>
        <v>0</v>
      </c>
      <c r="Y20" s="171">
        <f t="shared" si="6"/>
        <v>0</v>
      </c>
      <c r="Z20" s="171">
        <f t="shared" si="7"/>
        <v>0</v>
      </c>
    </row>
    <row r="21" spans="1:26">
      <c r="A21" s="168" t="s">
        <v>6</v>
      </c>
      <c r="B21" s="169" t="s">
        <v>143</v>
      </c>
      <c r="C21" s="315">
        <v>3</v>
      </c>
      <c r="D21" s="170" t="s">
        <v>383</v>
      </c>
      <c r="E21" s="88"/>
      <c r="F21" s="89"/>
      <c r="G21" s="89"/>
      <c r="H21" s="90">
        <v>74</v>
      </c>
      <c r="I21" s="89"/>
      <c r="J21" s="89"/>
      <c r="K21" s="91">
        <v>7</v>
      </c>
      <c r="L21" s="89"/>
      <c r="M21" s="92"/>
      <c r="N21" s="93">
        <f t="shared" si="1"/>
        <v>67</v>
      </c>
      <c r="O21" s="94"/>
      <c r="P21" s="95">
        <f t="shared" si="2"/>
        <v>0</v>
      </c>
      <c r="Q21" s="96">
        <f t="shared" si="3"/>
        <v>0</v>
      </c>
      <c r="R21" s="96">
        <f t="shared" si="4"/>
        <v>0</v>
      </c>
      <c r="S21" s="97"/>
      <c r="T21" s="98">
        <f t="shared" si="0"/>
        <v>0</v>
      </c>
      <c r="U21" s="97"/>
      <c r="V21" s="99">
        <f t="shared" si="5"/>
        <v>0</v>
      </c>
      <c r="Y21" s="171">
        <f t="shared" si="6"/>
        <v>0</v>
      </c>
      <c r="Z21" s="171">
        <f t="shared" si="7"/>
        <v>0</v>
      </c>
    </row>
    <row r="22" spans="1:26">
      <c r="A22" s="168" t="s">
        <v>6</v>
      </c>
      <c r="B22" s="169" t="s">
        <v>144</v>
      </c>
      <c r="C22" s="315">
        <v>3</v>
      </c>
      <c r="D22" s="170" t="s">
        <v>383</v>
      </c>
      <c r="E22" s="88"/>
      <c r="F22" s="89"/>
      <c r="G22" s="89"/>
      <c r="H22" s="90">
        <v>106</v>
      </c>
      <c r="I22" s="89"/>
      <c r="J22" s="89"/>
      <c r="K22" s="91">
        <v>9</v>
      </c>
      <c r="L22" s="89"/>
      <c r="M22" s="92"/>
      <c r="N22" s="93">
        <f t="shared" si="1"/>
        <v>97</v>
      </c>
      <c r="O22" s="94"/>
      <c r="P22" s="95">
        <f t="shared" si="2"/>
        <v>0</v>
      </c>
      <c r="Q22" s="96">
        <f t="shared" si="3"/>
        <v>0</v>
      </c>
      <c r="R22" s="96">
        <f t="shared" si="4"/>
        <v>0</v>
      </c>
      <c r="S22" s="97"/>
      <c r="T22" s="98">
        <f t="shared" si="0"/>
        <v>0</v>
      </c>
      <c r="U22" s="97"/>
      <c r="V22" s="99">
        <f t="shared" si="5"/>
        <v>0</v>
      </c>
      <c r="Y22" s="171">
        <f t="shared" si="6"/>
        <v>0</v>
      </c>
      <c r="Z22" s="171">
        <f t="shared" si="7"/>
        <v>0</v>
      </c>
    </row>
    <row r="23" spans="1:26">
      <c r="A23" s="168" t="s">
        <v>6</v>
      </c>
      <c r="B23" s="172" t="s">
        <v>147</v>
      </c>
      <c r="C23" s="316">
        <v>3</v>
      </c>
      <c r="D23" s="170" t="s">
        <v>383</v>
      </c>
      <c r="E23" s="88"/>
      <c r="F23" s="89"/>
      <c r="G23" s="89"/>
      <c r="H23" s="90">
        <v>70</v>
      </c>
      <c r="I23" s="89"/>
      <c r="J23" s="89"/>
      <c r="K23" s="91">
        <v>6</v>
      </c>
      <c r="L23" s="89"/>
      <c r="M23" s="92"/>
      <c r="N23" s="93">
        <f t="shared" si="1"/>
        <v>64</v>
      </c>
      <c r="O23" s="94"/>
      <c r="P23" s="95">
        <f t="shared" si="2"/>
        <v>0</v>
      </c>
      <c r="Q23" s="96">
        <f t="shared" si="3"/>
        <v>0</v>
      </c>
      <c r="R23" s="96">
        <f t="shared" si="4"/>
        <v>0</v>
      </c>
      <c r="S23" s="97"/>
      <c r="T23" s="98">
        <f t="shared" si="0"/>
        <v>0</v>
      </c>
      <c r="U23" s="97"/>
      <c r="V23" s="99">
        <f t="shared" si="5"/>
        <v>0</v>
      </c>
      <c r="Y23" s="171">
        <f t="shared" si="6"/>
        <v>0</v>
      </c>
      <c r="Z23" s="171">
        <f t="shared" si="7"/>
        <v>0</v>
      </c>
    </row>
    <row r="24" spans="1:26">
      <c r="A24" s="168" t="s">
        <v>6</v>
      </c>
      <c r="B24" s="172" t="s">
        <v>148</v>
      </c>
      <c r="C24" s="316">
        <v>3</v>
      </c>
      <c r="D24" s="170" t="s">
        <v>380</v>
      </c>
      <c r="E24" s="88"/>
      <c r="F24" s="89"/>
      <c r="G24" s="89"/>
      <c r="H24" s="90">
        <v>51</v>
      </c>
      <c r="I24" s="89"/>
      <c r="J24" s="89"/>
      <c r="K24" s="91">
        <v>4</v>
      </c>
      <c r="L24" s="89"/>
      <c r="M24" s="92"/>
      <c r="N24" s="93">
        <f t="shared" si="1"/>
        <v>47</v>
      </c>
      <c r="O24" s="94"/>
      <c r="P24" s="95">
        <f t="shared" si="2"/>
        <v>0</v>
      </c>
      <c r="Q24" s="96">
        <f t="shared" si="3"/>
        <v>0</v>
      </c>
      <c r="R24" s="96">
        <f t="shared" si="4"/>
        <v>0</v>
      </c>
      <c r="S24" s="97"/>
      <c r="T24" s="98">
        <f t="shared" si="0"/>
        <v>0</v>
      </c>
      <c r="U24" s="97"/>
      <c r="V24" s="99">
        <f t="shared" si="5"/>
        <v>0</v>
      </c>
      <c r="Y24" s="171">
        <f t="shared" si="6"/>
        <v>0</v>
      </c>
      <c r="Z24" s="171">
        <f t="shared" si="7"/>
        <v>0</v>
      </c>
    </row>
    <row r="25" spans="1:26">
      <c r="A25" s="168" t="s">
        <v>6</v>
      </c>
      <c r="B25" s="169" t="s">
        <v>149</v>
      </c>
      <c r="C25" s="315">
        <v>3</v>
      </c>
      <c r="D25" s="170" t="s">
        <v>380</v>
      </c>
      <c r="E25" s="88"/>
      <c r="F25" s="89"/>
      <c r="G25" s="89"/>
      <c r="H25" s="90">
        <v>66</v>
      </c>
      <c r="I25" s="89"/>
      <c r="J25" s="89"/>
      <c r="K25" s="91">
        <v>6</v>
      </c>
      <c r="L25" s="89"/>
      <c r="M25" s="92"/>
      <c r="N25" s="93">
        <f t="shared" si="1"/>
        <v>60</v>
      </c>
      <c r="O25" s="94"/>
      <c r="P25" s="95">
        <f t="shared" si="2"/>
        <v>0</v>
      </c>
      <c r="Q25" s="96">
        <f t="shared" si="3"/>
        <v>0</v>
      </c>
      <c r="R25" s="96">
        <f t="shared" si="4"/>
        <v>0</v>
      </c>
      <c r="S25" s="97"/>
      <c r="T25" s="98">
        <f t="shared" si="0"/>
        <v>0</v>
      </c>
      <c r="U25" s="97"/>
      <c r="V25" s="99">
        <f t="shared" si="5"/>
        <v>0</v>
      </c>
      <c r="Y25" s="171">
        <f t="shared" si="6"/>
        <v>0</v>
      </c>
      <c r="Z25" s="171">
        <f t="shared" si="7"/>
        <v>0</v>
      </c>
    </row>
    <row r="26" spans="1:26">
      <c r="A26" s="168" t="s">
        <v>6</v>
      </c>
      <c r="B26" s="169" t="s">
        <v>150</v>
      </c>
      <c r="C26" s="315">
        <v>3</v>
      </c>
      <c r="D26" s="170" t="s">
        <v>380</v>
      </c>
      <c r="E26" s="88"/>
      <c r="F26" s="89"/>
      <c r="G26" s="89"/>
      <c r="H26" s="90">
        <v>21</v>
      </c>
      <c r="I26" s="89"/>
      <c r="J26" s="89"/>
      <c r="K26" s="91">
        <v>2</v>
      </c>
      <c r="L26" s="89"/>
      <c r="M26" s="92"/>
      <c r="N26" s="93">
        <f t="shared" si="1"/>
        <v>19</v>
      </c>
      <c r="O26" s="94"/>
      <c r="P26" s="95">
        <f t="shared" si="2"/>
        <v>0</v>
      </c>
      <c r="Q26" s="96">
        <f t="shared" si="3"/>
        <v>0</v>
      </c>
      <c r="R26" s="96">
        <f t="shared" si="4"/>
        <v>0</v>
      </c>
      <c r="S26" s="97"/>
      <c r="T26" s="98">
        <f t="shared" si="0"/>
        <v>0</v>
      </c>
      <c r="U26" s="97"/>
      <c r="V26" s="99">
        <f t="shared" si="5"/>
        <v>0</v>
      </c>
      <c r="Y26" s="171">
        <f t="shared" si="6"/>
        <v>0</v>
      </c>
      <c r="Z26" s="171">
        <f t="shared" si="7"/>
        <v>0</v>
      </c>
    </row>
    <row r="27" spans="1:26">
      <c r="A27" s="168" t="s">
        <v>6</v>
      </c>
      <c r="B27" s="169" t="s">
        <v>151</v>
      </c>
      <c r="C27" s="315">
        <v>3</v>
      </c>
      <c r="D27" s="170" t="s">
        <v>380</v>
      </c>
      <c r="E27" s="88"/>
      <c r="F27" s="89"/>
      <c r="G27" s="89"/>
      <c r="H27" s="90">
        <v>74</v>
      </c>
      <c r="I27" s="89"/>
      <c r="J27" s="89"/>
      <c r="K27" s="91">
        <v>7</v>
      </c>
      <c r="L27" s="89"/>
      <c r="M27" s="92"/>
      <c r="N27" s="93">
        <f t="shared" si="1"/>
        <v>67</v>
      </c>
      <c r="O27" s="94"/>
      <c r="P27" s="95">
        <f t="shared" si="2"/>
        <v>0</v>
      </c>
      <c r="Q27" s="96">
        <f t="shared" si="3"/>
        <v>0</v>
      </c>
      <c r="R27" s="96">
        <f t="shared" si="4"/>
        <v>0</v>
      </c>
      <c r="S27" s="97"/>
      <c r="T27" s="98">
        <f t="shared" si="0"/>
        <v>0</v>
      </c>
      <c r="U27" s="97"/>
      <c r="V27" s="99">
        <f t="shared" si="5"/>
        <v>0</v>
      </c>
      <c r="Y27" s="171">
        <f t="shared" si="6"/>
        <v>0</v>
      </c>
      <c r="Z27" s="171">
        <f t="shared" si="7"/>
        <v>0</v>
      </c>
    </row>
    <row r="28" spans="1:26">
      <c r="A28" s="168" t="s">
        <v>6</v>
      </c>
      <c r="B28" s="169" t="s">
        <v>152</v>
      </c>
      <c r="C28" s="315">
        <v>3</v>
      </c>
      <c r="D28" s="170" t="s">
        <v>380</v>
      </c>
      <c r="E28" s="88"/>
      <c r="F28" s="89"/>
      <c r="G28" s="89"/>
      <c r="H28" s="90">
        <v>39</v>
      </c>
      <c r="I28" s="89"/>
      <c r="J28" s="89"/>
      <c r="K28" s="91">
        <v>3</v>
      </c>
      <c r="L28" s="89"/>
      <c r="M28" s="92"/>
      <c r="N28" s="93">
        <f t="shared" si="1"/>
        <v>36</v>
      </c>
      <c r="O28" s="94"/>
      <c r="P28" s="95">
        <f t="shared" si="2"/>
        <v>0</v>
      </c>
      <c r="Q28" s="96">
        <f t="shared" si="3"/>
        <v>0</v>
      </c>
      <c r="R28" s="96">
        <f t="shared" si="4"/>
        <v>0</v>
      </c>
      <c r="S28" s="97"/>
      <c r="T28" s="98">
        <f t="shared" si="0"/>
        <v>0</v>
      </c>
      <c r="U28" s="97"/>
      <c r="V28" s="99">
        <f t="shared" si="5"/>
        <v>0</v>
      </c>
      <c r="Y28" s="171">
        <f t="shared" si="6"/>
        <v>0</v>
      </c>
      <c r="Z28" s="171">
        <f t="shared" si="7"/>
        <v>0</v>
      </c>
    </row>
    <row r="29" spans="1:26">
      <c r="A29" s="168" t="s">
        <v>6</v>
      </c>
      <c r="B29" s="172" t="s">
        <v>153</v>
      </c>
      <c r="C29" s="316">
        <v>3</v>
      </c>
      <c r="D29" s="170" t="s">
        <v>380</v>
      </c>
      <c r="E29" s="88"/>
      <c r="F29" s="89"/>
      <c r="G29" s="89"/>
      <c r="H29" s="90">
        <v>96</v>
      </c>
      <c r="I29" s="89"/>
      <c r="J29" s="89"/>
      <c r="K29" s="91">
        <v>8</v>
      </c>
      <c r="L29" s="89"/>
      <c r="M29" s="92"/>
      <c r="N29" s="93">
        <f t="shared" si="1"/>
        <v>88</v>
      </c>
      <c r="O29" s="94"/>
      <c r="P29" s="95">
        <f t="shared" si="2"/>
        <v>0</v>
      </c>
      <c r="Q29" s="96">
        <f t="shared" si="3"/>
        <v>0</v>
      </c>
      <c r="R29" s="96">
        <f t="shared" si="4"/>
        <v>0</v>
      </c>
      <c r="S29" s="97"/>
      <c r="T29" s="98">
        <f t="shared" si="0"/>
        <v>0</v>
      </c>
      <c r="U29" s="97"/>
      <c r="V29" s="99">
        <f t="shared" si="5"/>
        <v>0</v>
      </c>
      <c r="Y29" s="171">
        <f t="shared" si="6"/>
        <v>0</v>
      </c>
      <c r="Z29" s="171">
        <f t="shared" si="7"/>
        <v>0</v>
      </c>
    </row>
    <row r="30" spans="1:26">
      <c r="A30" s="168" t="s">
        <v>6</v>
      </c>
      <c r="B30" s="169" t="s">
        <v>154</v>
      </c>
      <c r="C30" s="315">
        <v>3</v>
      </c>
      <c r="D30" s="170" t="s">
        <v>380</v>
      </c>
      <c r="E30" s="88"/>
      <c r="F30" s="89"/>
      <c r="G30" s="89"/>
      <c r="H30" s="90">
        <v>61</v>
      </c>
      <c r="I30" s="89"/>
      <c r="J30" s="89"/>
      <c r="K30" s="91">
        <v>5</v>
      </c>
      <c r="L30" s="89"/>
      <c r="M30" s="92"/>
      <c r="N30" s="93">
        <f t="shared" si="1"/>
        <v>56</v>
      </c>
      <c r="O30" s="94"/>
      <c r="P30" s="95">
        <f t="shared" si="2"/>
        <v>0</v>
      </c>
      <c r="Q30" s="96">
        <f t="shared" si="3"/>
        <v>0</v>
      </c>
      <c r="R30" s="96">
        <f t="shared" si="4"/>
        <v>0</v>
      </c>
      <c r="S30" s="97"/>
      <c r="T30" s="98">
        <f t="shared" si="0"/>
        <v>0</v>
      </c>
      <c r="U30" s="97"/>
      <c r="V30" s="99">
        <f t="shared" si="5"/>
        <v>0</v>
      </c>
      <c r="Y30" s="171">
        <f t="shared" si="6"/>
        <v>0</v>
      </c>
      <c r="Z30" s="171">
        <f t="shared" si="7"/>
        <v>0</v>
      </c>
    </row>
    <row r="31" spans="1:26">
      <c r="A31" s="168" t="s">
        <v>6</v>
      </c>
      <c r="B31" s="169" t="s">
        <v>155</v>
      </c>
      <c r="C31" s="315">
        <v>3</v>
      </c>
      <c r="D31" s="170" t="s">
        <v>380</v>
      </c>
      <c r="E31" s="88"/>
      <c r="F31" s="89"/>
      <c r="G31" s="89"/>
      <c r="H31" s="90">
        <v>33</v>
      </c>
      <c r="I31" s="89"/>
      <c r="J31" s="89"/>
      <c r="K31" s="91">
        <v>3</v>
      </c>
      <c r="L31" s="89"/>
      <c r="M31" s="92"/>
      <c r="N31" s="93">
        <f t="shared" si="1"/>
        <v>30</v>
      </c>
      <c r="O31" s="94"/>
      <c r="P31" s="95">
        <f t="shared" si="2"/>
        <v>0</v>
      </c>
      <c r="Q31" s="96">
        <f t="shared" si="3"/>
        <v>0</v>
      </c>
      <c r="R31" s="96">
        <f t="shared" si="4"/>
        <v>0</v>
      </c>
      <c r="S31" s="97"/>
      <c r="T31" s="98">
        <f t="shared" si="0"/>
        <v>0</v>
      </c>
      <c r="U31" s="97"/>
      <c r="V31" s="99">
        <f t="shared" si="5"/>
        <v>0</v>
      </c>
      <c r="Y31" s="171">
        <f t="shared" si="6"/>
        <v>0</v>
      </c>
      <c r="Z31" s="171">
        <f t="shared" si="7"/>
        <v>0</v>
      </c>
    </row>
    <row r="32" spans="1:26">
      <c r="A32" s="168" t="s">
        <v>6</v>
      </c>
      <c r="B32" s="169" t="s">
        <v>141</v>
      </c>
      <c r="C32" s="315">
        <v>4</v>
      </c>
      <c r="D32" s="170" t="s">
        <v>384</v>
      </c>
      <c r="E32" s="88"/>
      <c r="F32" s="89"/>
      <c r="G32" s="89"/>
      <c r="H32" s="90">
        <v>63</v>
      </c>
      <c r="I32" s="89"/>
      <c r="J32" s="89"/>
      <c r="K32" s="91">
        <v>0</v>
      </c>
      <c r="L32" s="89"/>
      <c r="M32" s="92"/>
      <c r="N32" s="93">
        <f t="shared" si="1"/>
        <v>63</v>
      </c>
      <c r="O32" s="94"/>
      <c r="P32" s="95">
        <f t="shared" si="2"/>
        <v>0</v>
      </c>
      <c r="Q32" s="96">
        <f t="shared" si="3"/>
        <v>0</v>
      </c>
      <c r="R32" s="96">
        <f t="shared" si="4"/>
        <v>0</v>
      </c>
      <c r="S32" s="97"/>
      <c r="T32" s="98">
        <f t="shared" si="0"/>
        <v>0</v>
      </c>
      <c r="U32" s="97"/>
      <c r="V32" s="99">
        <f t="shared" si="5"/>
        <v>0</v>
      </c>
      <c r="Y32" s="171">
        <f t="shared" si="6"/>
        <v>0</v>
      </c>
      <c r="Z32" s="171">
        <f t="shared" si="7"/>
        <v>0</v>
      </c>
    </row>
    <row r="33" spans="1:26">
      <c r="A33" s="168" t="s">
        <v>6</v>
      </c>
      <c r="B33" s="169" t="s">
        <v>142</v>
      </c>
      <c r="C33" s="315">
        <v>4</v>
      </c>
      <c r="D33" s="170" t="s">
        <v>384</v>
      </c>
      <c r="E33" s="88"/>
      <c r="F33" s="89"/>
      <c r="G33" s="89"/>
      <c r="H33" s="90">
        <v>47</v>
      </c>
      <c r="I33" s="89"/>
      <c r="J33" s="89"/>
      <c r="K33" s="91">
        <v>9</v>
      </c>
      <c r="L33" s="89"/>
      <c r="M33" s="92"/>
      <c r="N33" s="93">
        <f t="shared" si="1"/>
        <v>38</v>
      </c>
      <c r="O33" s="94"/>
      <c r="P33" s="95">
        <f t="shared" si="2"/>
        <v>0</v>
      </c>
      <c r="Q33" s="96">
        <f t="shared" si="3"/>
        <v>0</v>
      </c>
      <c r="R33" s="96">
        <f t="shared" si="4"/>
        <v>0</v>
      </c>
      <c r="S33" s="97"/>
      <c r="T33" s="98">
        <f t="shared" si="0"/>
        <v>0</v>
      </c>
      <c r="U33" s="97"/>
      <c r="V33" s="99">
        <f t="shared" si="5"/>
        <v>0</v>
      </c>
      <c r="Y33" s="171">
        <f t="shared" si="6"/>
        <v>0</v>
      </c>
      <c r="Z33" s="171">
        <f t="shared" si="7"/>
        <v>0</v>
      </c>
    </row>
    <row r="34" spans="1:26">
      <c r="A34" s="168" t="s">
        <v>6</v>
      </c>
      <c r="B34" s="169" t="s">
        <v>143</v>
      </c>
      <c r="C34" s="315">
        <v>4</v>
      </c>
      <c r="D34" s="170" t="s">
        <v>384</v>
      </c>
      <c r="E34" s="88"/>
      <c r="F34" s="89"/>
      <c r="G34" s="89"/>
      <c r="H34" s="90">
        <v>58</v>
      </c>
      <c r="I34" s="89"/>
      <c r="J34" s="89"/>
      <c r="K34" s="91">
        <v>0</v>
      </c>
      <c r="L34" s="89"/>
      <c r="M34" s="92"/>
      <c r="N34" s="93">
        <f t="shared" si="1"/>
        <v>58</v>
      </c>
      <c r="O34" s="94"/>
      <c r="P34" s="95">
        <f t="shared" si="2"/>
        <v>0</v>
      </c>
      <c r="Q34" s="96">
        <f t="shared" si="3"/>
        <v>0</v>
      </c>
      <c r="R34" s="96">
        <f t="shared" si="4"/>
        <v>0</v>
      </c>
      <c r="S34" s="97"/>
      <c r="T34" s="98">
        <f t="shared" si="0"/>
        <v>0</v>
      </c>
      <c r="U34" s="97"/>
      <c r="V34" s="99">
        <f t="shared" si="5"/>
        <v>0</v>
      </c>
      <c r="Y34" s="171">
        <f t="shared" si="6"/>
        <v>0</v>
      </c>
      <c r="Z34" s="171">
        <f t="shared" si="7"/>
        <v>0</v>
      </c>
    </row>
    <row r="35" spans="1:26">
      <c r="A35" s="168" t="s">
        <v>6</v>
      </c>
      <c r="B35" s="169" t="s">
        <v>144</v>
      </c>
      <c r="C35" s="315">
        <v>4</v>
      </c>
      <c r="D35" s="170" t="s">
        <v>384</v>
      </c>
      <c r="E35" s="88"/>
      <c r="F35" s="89"/>
      <c r="G35" s="89"/>
      <c r="H35" s="90">
        <v>76</v>
      </c>
      <c r="I35" s="89"/>
      <c r="J35" s="89"/>
      <c r="K35" s="91">
        <v>15</v>
      </c>
      <c r="L35" s="89"/>
      <c r="M35" s="92"/>
      <c r="N35" s="93">
        <f t="shared" si="1"/>
        <v>61</v>
      </c>
      <c r="O35" s="94"/>
      <c r="P35" s="95">
        <f t="shared" si="2"/>
        <v>0</v>
      </c>
      <c r="Q35" s="96">
        <f t="shared" si="3"/>
        <v>0</v>
      </c>
      <c r="R35" s="96">
        <f t="shared" si="4"/>
        <v>0</v>
      </c>
      <c r="S35" s="97"/>
      <c r="T35" s="98">
        <f t="shared" si="0"/>
        <v>0</v>
      </c>
      <c r="U35" s="97"/>
      <c r="V35" s="99">
        <f t="shared" si="5"/>
        <v>0</v>
      </c>
      <c r="Y35" s="171">
        <f t="shared" si="6"/>
        <v>0</v>
      </c>
      <c r="Z35" s="171">
        <f t="shared" si="7"/>
        <v>0</v>
      </c>
    </row>
    <row r="36" spans="1:26">
      <c r="A36" s="168" t="s">
        <v>6</v>
      </c>
      <c r="B36" s="172" t="s">
        <v>147</v>
      </c>
      <c r="C36" s="316">
        <v>4</v>
      </c>
      <c r="D36" s="170" t="s">
        <v>384</v>
      </c>
      <c r="E36" s="88"/>
      <c r="F36" s="89"/>
      <c r="G36" s="89"/>
      <c r="H36" s="90">
        <v>58</v>
      </c>
      <c r="I36" s="89"/>
      <c r="J36" s="89"/>
      <c r="K36" s="91">
        <v>0</v>
      </c>
      <c r="L36" s="89"/>
      <c r="M36" s="92"/>
      <c r="N36" s="93">
        <f t="shared" si="1"/>
        <v>58</v>
      </c>
      <c r="O36" s="94"/>
      <c r="P36" s="95">
        <f t="shared" si="2"/>
        <v>0</v>
      </c>
      <c r="Q36" s="96">
        <f t="shared" si="3"/>
        <v>0</v>
      </c>
      <c r="R36" s="96">
        <f t="shared" si="4"/>
        <v>0</v>
      </c>
      <c r="S36" s="97"/>
      <c r="T36" s="98">
        <f t="shared" si="0"/>
        <v>0</v>
      </c>
      <c r="U36" s="97"/>
      <c r="V36" s="99">
        <f t="shared" si="5"/>
        <v>0</v>
      </c>
      <c r="Y36" s="171">
        <f t="shared" si="6"/>
        <v>0</v>
      </c>
      <c r="Z36" s="171">
        <f t="shared" si="7"/>
        <v>0</v>
      </c>
    </row>
    <row r="37" spans="1:26">
      <c r="A37" s="168" t="s">
        <v>6</v>
      </c>
      <c r="B37" s="172" t="s">
        <v>148</v>
      </c>
      <c r="C37" s="316">
        <v>4</v>
      </c>
      <c r="D37" s="170" t="s">
        <v>384</v>
      </c>
      <c r="E37" s="88"/>
      <c r="F37" s="89"/>
      <c r="G37" s="89"/>
      <c r="H37" s="90">
        <v>33</v>
      </c>
      <c r="I37" s="89"/>
      <c r="J37" s="89"/>
      <c r="K37" s="91">
        <v>0</v>
      </c>
      <c r="L37" s="89"/>
      <c r="M37" s="92"/>
      <c r="N37" s="93">
        <f t="shared" si="1"/>
        <v>33</v>
      </c>
      <c r="O37" s="94"/>
      <c r="P37" s="95">
        <f t="shared" si="2"/>
        <v>0</v>
      </c>
      <c r="Q37" s="96">
        <f t="shared" si="3"/>
        <v>0</v>
      </c>
      <c r="R37" s="96">
        <f t="shared" si="4"/>
        <v>0</v>
      </c>
      <c r="S37" s="97"/>
      <c r="T37" s="98">
        <f t="shared" ref="T37:T68" si="8">S37*H37</f>
        <v>0</v>
      </c>
      <c r="U37" s="97"/>
      <c r="V37" s="99">
        <f t="shared" si="5"/>
        <v>0</v>
      </c>
      <c r="Y37" s="171">
        <f t="shared" si="6"/>
        <v>0</v>
      </c>
      <c r="Z37" s="171">
        <f t="shared" si="7"/>
        <v>0</v>
      </c>
    </row>
    <row r="38" spans="1:26">
      <c r="A38" s="168" t="s">
        <v>6</v>
      </c>
      <c r="B38" s="169" t="s">
        <v>149</v>
      </c>
      <c r="C38" s="315">
        <v>4</v>
      </c>
      <c r="D38" s="170" t="s">
        <v>382</v>
      </c>
      <c r="E38" s="88"/>
      <c r="F38" s="89"/>
      <c r="G38" s="89"/>
      <c r="H38" s="90">
        <v>45</v>
      </c>
      <c r="I38" s="89"/>
      <c r="J38" s="89"/>
      <c r="K38" s="91">
        <v>0</v>
      </c>
      <c r="L38" s="89"/>
      <c r="M38" s="92"/>
      <c r="N38" s="93">
        <f t="shared" si="1"/>
        <v>45</v>
      </c>
      <c r="O38" s="94"/>
      <c r="P38" s="95">
        <f t="shared" si="2"/>
        <v>0</v>
      </c>
      <c r="Q38" s="96">
        <f t="shared" si="3"/>
        <v>0</v>
      </c>
      <c r="R38" s="96">
        <f t="shared" si="4"/>
        <v>0</v>
      </c>
      <c r="S38" s="97"/>
      <c r="T38" s="98">
        <f t="shared" si="8"/>
        <v>0</v>
      </c>
      <c r="U38" s="97"/>
      <c r="V38" s="99">
        <f t="shared" si="5"/>
        <v>0</v>
      </c>
      <c r="Y38" s="171">
        <f t="shared" si="6"/>
        <v>0</v>
      </c>
      <c r="Z38" s="171">
        <f t="shared" si="7"/>
        <v>0</v>
      </c>
    </row>
    <row r="39" spans="1:26">
      <c r="A39" s="168" t="s">
        <v>6</v>
      </c>
      <c r="B39" s="169" t="s">
        <v>150</v>
      </c>
      <c r="C39" s="315">
        <v>4</v>
      </c>
      <c r="D39" s="170" t="s">
        <v>382</v>
      </c>
      <c r="E39" s="88"/>
      <c r="F39" s="89"/>
      <c r="G39" s="89"/>
      <c r="H39" s="90">
        <v>20</v>
      </c>
      <c r="I39" s="89"/>
      <c r="J39" s="89"/>
      <c r="K39" s="91">
        <v>4</v>
      </c>
      <c r="L39" s="89"/>
      <c r="M39" s="92"/>
      <c r="N39" s="93">
        <f t="shared" si="1"/>
        <v>16</v>
      </c>
      <c r="O39" s="94"/>
      <c r="P39" s="95">
        <f t="shared" si="2"/>
        <v>0</v>
      </c>
      <c r="Q39" s="96">
        <f t="shared" si="3"/>
        <v>0</v>
      </c>
      <c r="R39" s="96">
        <f t="shared" si="4"/>
        <v>0</v>
      </c>
      <c r="S39" s="97"/>
      <c r="T39" s="98">
        <f t="shared" si="8"/>
        <v>0</v>
      </c>
      <c r="U39" s="97"/>
      <c r="V39" s="99">
        <f t="shared" si="5"/>
        <v>0</v>
      </c>
      <c r="Y39" s="171">
        <f t="shared" si="6"/>
        <v>0</v>
      </c>
      <c r="Z39" s="171">
        <f t="shared" si="7"/>
        <v>0</v>
      </c>
    </row>
    <row r="40" spans="1:26">
      <c r="A40" s="168" t="s">
        <v>6</v>
      </c>
      <c r="B40" s="169" t="s">
        <v>156</v>
      </c>
      <c r="C40" s="315">
        <v>4</v>
      </c>
      <c r="D40" s="170" t="s">
        <v>382</v>
      </c>
      <c r="E40" s="88"/>
      <c r="F40" s="89"/>
      <c r="G40" s="89"/>
      <c r="H40" s="90">
        <v>45</v>
      </c>
      <c r="I40" s="89"/>
      <c r="J40" s="89"/>
      <c r="K40" s="91">
        <v>0</v>
      </c>
      <c r="L40" s="89"/>
      <c r="M40" s="92"/>
      <c r="N40" s="93">
        <f t="shared" si="1"/>
        <v>45</v>
      </c>
      <c r="O40" s="94"/>
      <c r="P40" s="95">
        <f t="shared" si="2"/>
        <v>0</v>
      </c>
      <c r="Q40" s="96">
        <f t="shared" si="3"/>
        <v>0</v>
      </c>
      <c r="R40" s="96">
        <f t="shared" si="4"/>
        <v>0</v>
      </c>
      <c r="S40" s="97"/>
      <c r="T40" s="98">
        <f t="shared" si="8"/>
        <v>0</v>
      </c>
      <c r="U40" s="97"/>
      <c r="V40" s="99">
        <f t="shared" si="5"/>
        <v>0</v>
      </c>
      <c r="Y40" s="171">
        <f t="shared" si="6"/>
        <v>0</v>
      </c>
      <c r="Z40" s="171">
        <f t="shared" si="7"/>
        <v>0</v>
      </c>
    </row>
    <row r="41" spans="1:26">
      <c r="A41" s="168" t="s">
        <v>6</v>
      </c>
      <c r="B41" s="169" t="s">
        <v>157</v>
      </c>
      <c r="C41" s="315">
        <v>4</v>
      </c>
      <c r="D41" s="170" t="s">
        <v>382</v>
      </c>
      <c r="E41" s="88"/>
      <c r="F41" s="89"/>
      <c r="G41" s="89"/>
      <c r="H41" s="90">
        <v>20</v>
      </c>
      <c r="I41" s="89"/>
      <c r="J41" s="89"/>
      <c r="K41" s="91">
        <v>4</v>
      </c>
      <c r="L41" s="89"/>
      <c r="M41" s="92"/>
      <c r="N41" s="93">
        <f t="shared" si="1"/>
        <v>16</v>
      </c>
      <c r="O41" s="94"/>
      <c r="P41" s="95">
        <f t="shared" si="2"/>
        <v>0</v>
      </c>
      <c r="Q41" s="96">
        <f t="shared" si="3"/>
        <v>0</v>
      </c>
      <c r="R41" s="96">
        <f t="shared" si="4"/>
        <v>0</v>
      </c>
      <c r="S41" s="97"/>
      <c r="T41" s="98">
        <f t="shared" si="8"/>
        <v>0</v>
      </c>
      <c r="U41" s="97"/>
      <c r="V41" s="99">
        <f t="shared" si="5"/>
        <v>0</v>
      </c>
      <c r="Y41" s="171">
        <f t="shared" si="6"/>
        <v>0</v>
      </c>
      <c r="Z41" s="171">
        <f t="shared" si="7"/>
        <v>0</v>
      </c>
    </row>
    <row r="42" spans="1:26">
      <c r="A42" s="168" t="s">
        <v>6</v>
      </c>
      <c r="B42" s="172" t="s">
        <v>158</v>
      </c>
      <c r="C42" s="316">
        <v>4</v>
      </c>
      <c r="D42" s="170" t="s">
        <v>382</v>
      </c>
      <c r="E42" s="88"/>
      <c r="F42" s="89"/>
      <c r="G42" s="89"/>
      <c r="H42" s="90">
        <v>65</v>
      </c>
      <c r="I42" s="89"/>
      <c r="J42" s="89"/>
      <c r="K42" s="91">
        <v>0</v>
      </c>
      <c r="L42" s="89"/>
      <c r="M42" s="92"/>
      <c r="N42" s="93">
        <f t="shared" si="1"/>
        <v>65</v>
      </c>
      <c r="O42" s="94"/>
      <c r="P42" s="95">
        <f t="shared" si="2"/>
        <v>0</v>
      </c>
      <c r="Q42" s="96">
        <f t="shared" si="3"/>
        <v>0</v>
      </c>
      <c r="R42" s="96">
        <f t="shared" si="4"/>
        <v>0</v>
      </c>
      <c r="S42" s="97"/>
      <c r="T42" s="98">
        <f t="shared" si="8"/>
        <v>0</v>
      </c>
      <c r="U42" s="97"/>
      <c r="V42" s="99">
        <f t="shared" si="5"/>
        <v>0</v>
      </c>
      <c r="Y42" s="171">
        <f t="shared" si="6"/>
        <v>0</v>
      </c>
      <c r="Z42" s="171">
        <f t="shared" si="7"/>
        <v>0</v>
      </c>
    </row>
    <row r="43" spans="1:26">
      <c r="A43" s="168" t="s">
        <v>6</v>
      </c>
      <c r="B43" s="169" t="s">
        <v>159</v>
      </c>
      <c r="C43" s="315">
        <v>4</v>
      </c>
      <c r="D43" s="170" t="s">
        <v>382</v>
      </c>
      <c r="E43" s="88"/>
      <c r="F43" s="89"/>
      <c r="G43" s="89"/>
      <c r="H43" s="90">
        <v>64</v>
      </c>
      <c r="I43" s="89"/>
      <c r="J43" s="89"/>
      <c r="K43" s="91">
        <v>0</v>
      </c>
      <c r="L43" s="89"/>
      <c r="M43" s="92"/>
      <c r="N43" s="93">
        <f t="shared" si="1"/>
        <v>64</v>
      </c>
      <c r="O43" s="94"/>
      <c r="P43" s="95">
        <f t="shared" si="2"/>
        <v>0</v>
      </c>
      <c r="Q43" s="96">
        <f t="shared" si="3"/>
        <v>0</v>
      </c>
      <c r="R43" s="96">
        <f t="shared" si="4"/>
        <v>0</v>
      </c>
      <c r="S43" s="97"/>
      <c r="T43" s="98">
        <f t="shared" si="8"/>
        <v>0</v>
      </c>
      <c r="U43" s="97"/>
      <c r="V43" s="99">
        <f t="shared" si="5"/>
        <v>0</v>
      </c>
      <c r="Y43" s="171">
        <f t="shared" si="6"/>
        <v>0</v>
      </c>
      <c r="Z43" s="171">
        <f t="shared" si="7"/>
        <v>0</v>
      </c>
    </row>
    <row r="44" spans="1:26">
      <c r="A44" s="168" t="s">
        <v>6</v>
      </c>
      <c r="B44" s="169" t="s">
        <v>160</v>
      </c>
      <c r="C44" s="315">
        <v>4</v>
      </c>
      <c r="D44" s="170" t="s">
        <v>382</v>
      </c>
      <c r="E44" s="88"/>
      <c r="F44" s="89"/>
      <c r="G44" s="89"/>
      <c r="H44" s="90">
        <v>28</v>
      </c>
      <c r="I44" s="89"/>
      <c r="J44" s="89"/>
      <c r="K44" s="91">
        <v>6</v>
      </c>
      <c r="L44" s="89"/>
      <c r="M44" s="92"/>
      <c r="N44" s="93">
        <f t="shared" si="1"/>
        <v>22</v>
      </c>
      <c r="O44" s="94"/>
      <c r="P44" s="95">
        <f t="shared" si="2"/>
        <v>0</v>
      </c>
      <c r="Q44" s="96">
        <f t="shared" si="3"/>
        <v>0</v>
      </c>
      <c r="R44" s="96">
        <f t="shared" si="4"/>
        <v>0</v>
      </c>
      <c r="S44" s="97"/>
      <c r="T44" s="98">
        <f t="shared" si="8"/>
        <v>0</v>
      </c>
      <c r="U44" s="97"/>
      <c r="V44" s="99">
        <f t="shared" si="5"/>
        <v>0</v>
      </c>
      <c r="Y44" s="171">
        <f t="shared" si="6"/>
        <v>0</v>
      </c>
      <c r="Z44" s="171">
        <f t="shared" si="7"/>
        <v>0</v>
      </c>
    </row>
    <row r="45" spans="1:26">
      <c r="A45" s="168" t="s">
        <v>6</v>
      </c>
      <c r="B45" s="169" t="s">
        <v>161</v>
      </c>
      <c r="C45" s="315">
        <v>4</v>
      </c>
      <c r="D45" s="170" t="s">
        <v>382</v>
      </c>
      <c r="E45" s="88"/>
      <c r="F45" s="89"/>
      <c r="G45" s="89"/>
      <c r="H45" s="90">
        <v>50</v>
      </c>
      <c r="I45" s="89"/>
      <c r="J45" s="89"/>
      <c r="K45" s="91">
        <v>0</v>
      </c>
      <c r="L45" s="89"/>
      <c r="M45" s="92"/>
      <c r="N45" s="93">
        <f t="shared" si="1"/>
        <v>50</v>
      </c>
      <c r="O45" s="94"/>
      <c r="P45" s="95">
        <f t="shared" si="2"/>
        <v>0</v>
      </c>
      <c r="Q45" s="96">
        <f t="shared" si="3"/>
        <v>0</v>
      </c>
      <c r="R45" s="96">
        <f t="shared" si="4"/>
        <v>0</v>
      </c>
      <c r="S45" s="97"/>
      <c r="T45" s="98">
        <f t="shared" si="8"/>
        <v>0</v>
      </c>
      <c r="U45" s="97"/>
      <c r="V45" s="99">
        <f t="shared" si="5"/>
        <v>0</v>
      </c>
      <c r="Y45" s="171">
        <f t="shared" si="6"/>
        <v>0</v>
      </c>
      <c r="Z45" s="171">
        <f t="shared" si="7"/>
        <v>0</v>
      </c>
    </row>
    <row r="46" spans="1:26">
      <c r="A46" s="168" t="s">
        <v>6</v>
      </c>
      <c r="B46" s="169" t="s">
        <v>162</v>
      </c>
      <c r="C46" s="315">
        <v>4</v>
      </c>
      <c r="D46" s="170" t="s">
        <v>382</v>
      </c>
      <c r="E46" s="88"/>
      <c r="F46" s="89"/>
      <c r="G46" s="89"/>
      <c r="H46" s="90">
        <v>25</v>
      </c>
      <c r="I46" s="89"/>
      <c r="J46" s="89"/>
      <c r="K46" s="91">
        <v>5</v>
      </c>
      <c r="L46" s="89"/>
      <c r="M46" s="92"/>
      <c r="N46" s="93">
        <f t="shared" si="1"/>
        <v>20</v>
      </c>
      <c r="O46" s="94"/>
      <c r="P46" s="95">
        <f t="shared" si="2"/>
        <v>0</v>
      </c>
      <c r="Q46" s="96">
        <f t="shared" si="3"/>
        <v>0</v>
      </c>
      <c r="R46" s="96">
        <f t="shared" si="4"/>
        <v>0</v>
      </c>
      <c r="S46" s="97"/>
      <c r="T46" s="98">
        <f t="shared" si="8"/>
        <v>0</v>
      </c>
      <c r="U46" s="97"/>
      <c r="V46" s="99">
        <f t="shared" si="5"/>
        <v>0</v>
      </c>
      <c r="Y46" s="171">
        <f t="shared" si="6"/>
        <v>0</v>
      </c>
      <c r="Z46" s="171">
        <f t="shared" si="7"/>
        <v>0</v>
      </c>
    </row>
    <row r="47" spans="1:26">
      <c r="A47" s="168" t="s">
        <v>6</v>
      </c>
      <c r="B47" s="169" t="s">
        <v>141</v>
      </c>
      <c r="C47" s="315">
        <v>5</v>
      </c>
      <c r="D47" s="170" t="s">
        <v>385</v>
      </c>
      <c r="E47" s="88"/>
      <c r="F47" s="89"/>
      <c r="G47" s="89"/>
      <c r="H47" s="90">
        <v>57</v>
      </c>
      <c r="I47" s="89"/>
      <c r="J47" s="89"/>
      <c r="K47" s="91">
        <v>0</v>
      </c>
      <c r="L47" s="89"/>
      <c r="M47" s="92"/>
      <c r="N47" s="93">
        <f t="shared" si="1"/>
        <v>57</v>
      </c>
      <c r="O47" s="94"/>
      <c r="P47" s="95">
        <f t="shared" si="2"/>
        <v>0</v>
      </c>
      <c r="Q47" s="96">
        <f t="shared" si="3"/>
        <v>0</v>
      </c>
      <c r="R47" s="96">
        <f t="shared" si="4"/>
        <v>0</v>
      </c>
      <c r="S47" s="97"/>
      <c r="T47" s="98">
        <f t="shared" si="8"/>
        <v>0</v>
      </c>
      <c r="U47" s="97"/>
      <c r="V47" s="99">
        <f t="shared" si="5"/>
        <v>0</v>
      </c>
      <c r="Y47" s="171">
        <f t="shared" si="6"/>
        <v>0</v>
      </c>
      <c r="Z47" s="171">
        <f t="shared" si="7"/>
        <v>0</v>
      </c>
    </row>
    <row r="48" spans="1:26">
      <c r="A48" s="168" t="s">
        <v>6</v>
      </c>
      <c r="B48" s="169" t="s">
        <v>142</v>
      </c>
      <c r="C48" s="315">
        <v>5</v>
      </c>
      <c r="D48" s="170" t="s">
        <v>385</v>
      </c>
      <c r="E48" s="88"/>
      <c r="F48" s="89"/>
      <c r="G48" s="89"/>
      <c r="H48" s="90">
        <v>47</v>
      </c>
      <c r="I48" s="89"/>
      <c r="J48" s="89"/>
      <c r="K48" s="91">
        <v>9</v>
      </c>
      <c r="L48" s="89"/>
      <c r="M48" s="92"/>
      <c r="N48" s="93">
        <f t="shared" si="1"/>
        <v>38</v>
      </c>
      <c r="O48" s="94"/>
      <c r="P48" s="95">
        <f t="shared" si="2"/>
        <v>0</v>
      </c>
      <c r="Q48" s="96">
        <f t="shared" si="3"/>
        <v>0</v>
      </c>
      <c r="R48" s="96">
        <f t="shared" si="4"/>
        <v>0</v>
      </c>
      <c r="S48" s="97"/>
      <c r="T48" s="98">
        <f t="shared" si="8"/>
        <v>0</v>
      </c>
      <c r="U48" s="97"/>
      <c r="V48" s="99">
        <f t="shared" si="5"/>
        <v>0</v>
      </c>
      <c r="Y48" s="171">
        <f t="shared" si="6"/>
        <v>0</v>
      </c>
      <c r="Z48" s="171">
        <f t="shared" si="7"/>
        <v>0</v>
      </c>
    </row>
    <row r="49" spans="1:26">
      <c r="A49" s="168" t="s">
        <v>6</v>
      </c>
      <c r="B49" s="169" t="s">
        <v>143</v>
      </c>
      <c r="C49" s="315">
        <v>5</v>
      </c>
      <c r="D49" s="170" t="s">
        <v>385</v>
      </c>
      <c r="E49" s="88"/>
      <c r="F49" s="89"/>
      <c r="G49" s="89"/>
      <c r="H49" s="90">
        <v>58</v>
      </c>
      <c r="I49" s="89"/>
      <c r="J49" s="89"/>
      <c r="K49" s="91">
        <v>0</v>
      </c>
      <c r="L49" s="89"/>
      <c r="M49" s="92"/>
      <c r="N49" s="93">
        <f t="shared" si="1"/>
        <v>58</v>
      </c>
      <c r="O49" s="94"/>
      <c r="P49" s="95">
        <f t="shared" si="2"/>
        <v>0</v>
      </c>
      <c r="Q49" s="96">
        <f t="shared" si="3"/>
        <v>0</v>
      </c>
      <c r="R49" s="96">
        <f t="shared" si="4"/>
        <v>0</v>
      </c>
      <c r="S49" s="97"/>
      <c r="T49" s="98">
        <f t="shared" si="8"/>
        <v>0</v>
      </c>
      <c r="U49" s="97"/>
      <c r="V49" s="99">
        <f t="shared" si="5"/>
        <v>0</v>
      </c>
      <c r="Y49" s="171">
        <f t="shared" si="6"/>
        <v>0</v>
      </c>
      <c r="Z49" s="171">
        <f t="shared" si="7"/>
        <v>0</v>
      </c>
    </row>
    <row r="50" spans="1:26">
      <c r="A50" s="168" t="s">
        <v>6</v>
      </c>
      <c r="B50" s="169" t="s">
        <v>144</v>
      </c>
      <c r="C50" s="315">
        <v>5</v>
      </c>
      <c r="D50" s="170" t="s">
        <v>385</v>
      </c>
      <c r="E50" s="88"/>
      <c r="F50" s="89"/>
      <c r="G50" s="89"/>
      <c r="H50" s="90">
        <v>79</v>
      </c>
      <c r="I50" s="89"/>
      <c r="J50" s="89"/>
      <c r="K50" s="91">
        <v>16</v>
      </c>
      <c r="L50" s="89"/>
      <c r="M50" s="92"/>
      <c r="N50" s="93">
        <f t="shared" si="1"/>
        <v>63</v>
      </c>
      <c r="O50" s="94"/>
      <c r="P50" s="95">
        <f t="shared" si="2"/>
        <v>0</v>
      </c>
      <c r="Q50" s="96">
        <f t="shared" si="3"/>
        <v>0</v>
      </c>
      <c r="R50" s="96">
        <f t="shared" si="4"/>
        <v>0</v>
      </c>
      <c r="S50" s="97"/>
      <c r="T50" s="98">
        <f t="shared" si="8"/>
        <v>0</v>
      </c>
      <c r="U50" s="97"/>
      <c r="V50" s="99">
        <f t="shared" si="5"/>
        <v>0</v>
      </c>
      <c r="Y50" s="171">
        <f t="shared" si="6"/>
        <v>0</v>
      </c>
      <c r="Z50" s="171">
        <f t="shared" si="7"/>
        <v>0</v>
      </c>
    </row>
    <row r="51" spans="1:26">
      <c r="A51" s="168" t="s">
        <v>6</v>
      </c>
      <c r="B51" s="172" t="s">
        <v>147</v>
      </c>
      <c r="C51" s="316">
        <v>5</v>
      </c>
      <c r="D51" s="170" t="s">
        <v>385</v>
      </c>
      <c r="E51" s="88"/>
      <c r="F51" s="89"/>
      <c r="G51" s="89"/>
      <c r="H51" s="90">
        <v>67</v>
      </c>
      <c r="I51" s="89"/>
      <c r="J51" s="89"/>
      <c r="K51" s="91">
        <v>0</v>
      </c>
      <c r="L51" s="89"/>
      <c r="M51" s="92"/>
      <c r="N51" s="93">
        <f t="shared" si="1"/>
        <v>67</v>
      </c>
      <c r="O51" s="94"/>
      <c r="P51" s="95">
        <f t="shared" si="2"/>
        <v>0</v>
      </c>
      <c r="Q51" s="96">
        <f t="shared" si="3"/>
        <v>0</v>
      </c>
      <c r="R51" s="96">
        <f t="shared" si="4"/>
        <v>0</v>
      </c>
      <c r="S51" s="97"/>
      <c r="T51" s="98">
        <f t="shared" si="8"/>
        <v>0</v>
      </c>
      <c r="U51" s="97"/>
      <c r="V51" s="99">
        <f t="shared" si="5"/>
        <v>0</v>
      </c>
      <c r="Y51" s="171">
        <f t="shared" si="6"/>
        <v>0</v>
      </c>
      <c r="Z51" s="171">
        <f t="shared" si="7"/>
        <v>0</v>
      </c>
    </row>
    <row r="52" spans="1:26">
      <c r="A52" s="168" t="s">
        <v>6</v>
      </c>
      <c r="B52" s="172" t="s">
        <v>148</v>
      </c>
      <c r="C52" s="316">
        <v>5</v>
      </c>
      <c r="D52" s="170" t="s">
        <v>385</v>
      </c>
      <c r="E52" s="88"/>
      <c r="F52" s="89"/>
      <c r="G52" s="89"/>
      <c r="H52" s="90">
        <v>40</v>
      </c>
      <c r="I52" s="89"/>
      <c r="J52" s="89"/>
      <c r="K52" s="91">
        <v>0</v>
      </c>
      <c r="L52" s="89"/>
      <c r="M52" s="92"/>
      <c r="N52" s="93">
        <f t="shared" si="1"/>
        <v>40</v>
      </c>
      <c r="O52" s="94"/>
      <c r="P52" s="95">
        <f t="shared" si="2"/>
        <v>0</v>
      </c>
      <c r="Q52" s="96">
        <f t="shared" si="3"/>
        <v>0</v>
      </c>
      <c r="R52" s="96">
        <f t="shared" si="4"/>
        <v>0</v>
      </c>
      <c r="S52" s="97"/>
      <c r="T52" s="98">
        <f t="shared" si="8"/>
        <v>0</v>
      </c>
      <c r="U52" s="97"/>
      <c r="V52" s="99">
        <f t="shared" si="5"/>
        <v>0</v>
      </c>
      <c r="Y52" s="171">
        <f t="shared" si="6"/>
        <v>0</v>
      </c>
      <c r="Z52" s="171">
        <f t="shared" si="7"/>
        <v>0</v>
      </c>
    </row>
    <row r="53" spans="1:26">
      <c r="A53" s="168" t="s">
        <v>6</v>
      </c>
      <c r="B53" s="169" t="s">
        <v>149</v>
      </c>
      <c r="C53" s="315">
        <v>5</v>
      </c>
      <c r="D53" s="170" t="s">
        <v>383</v>
      </c>
      <c r="E53" s="88"/>
      <c r="F53" s="89"/>
      <c r="G53" s="89"/>
      <c r="H53" s="90">
        <v>53</v>
      </c>
      <c r="I53" s="89"/>
      <c r="J53" s="89"/>
      <c r="K53" s="91">
        <v>0</v>
      </c>
      <c r="L53" s="89"/>
      <c r="M53" s="92"/>
      <c r="N53" s="93">
        <f t="shared" si="1"/>
        <v>53</v>
      </c>
      <c r="O53" s="94"/>
      <c r="P53" s="95">
        <f t="shared" si="2"/>
        <v>0</v>
      </c>
      <c r="Q53" s="96">
        <f t="shared" si="3"/>
        <v>0</v>
      </c>
      <c r="R53" s="96">
        <f t="shared" si="4"/>
        <v>0</v>
      </c>
      <c r="S53" s="97"/>
      <c r="T53" s="98">
        <f t="shared" si="8"/>
        <v>0</v>
      </c>
      <c r="U53" s="97"/>
      <c r="V53" s="99">
        <f t="shared" si="5"/>
        <v>0</v>
      </c>
      <c r="Y53" s="171">
        <f t="shared" si="6"/>
        <v>0</v>
      </c>
      <c r="Z53" s="171">
        <f t="shared" si="7"/>
        <v>0</v>
      </c>
    </row>
    <row r="54" spans="1:26">
      <c r="A54" s="168" t="s">
        <v>6</v>
      </c>
      <c r="B54" s="169" t="s">
        <v>150</v>
      </c>
      <c r="C54" s="315">
        <v>5</v>
      </c>
      <c r="D54" s="170" t="s">
        <v>383</v>
      </c>
      <c r="E54" s="88"/>
      <c r="F54" s="89"/>
      <c r="G54" s="89"/>
      <c r="H54" s="90">
        <v>17</v>
      </c>
      <c r="I54" s="89"/>
      <c r="J54" s="89"/>
      <c r="K54" s="91">
        <v>3</v>
      </c>
      <c r="L54" s="89"/>
      <c r="M54" s="92"/>
      <c r="N54" s="93">
        <f t="shared" si="1"/>
        <v>14</v>
      </c>
      <c r="O54" s="94"/>
      <c r="P54" s="95">
        <f t="shared" si="2"/>
        <v>0</v>
      </c>
      <c r="Q54" s="96">
        <f t="shared" si="3"/>
        <v>0</v>
      </c>
      <c r="R54" s="96">
        <f t="shared" si="4"/>
        <v>0</v>
      </c>
      <c r="S54" s="97"/>
      <c r="T54" s="98">
        <f t="shared" si="8"/>
        <v>0</v>
      </c>
      <c r="U54" s="97"/>
      <c r="V54" s="99">
        <f t="shared" si="5"/>
        <v>0</v>
      </c>
      <c r="Y54" s="171">
        <f t="shared" si="6"/>
        <v>0</v>
      </c>
      <c r="Z54" s="171">
        <f t="shared" si="7"/>
        <v>0</v>
      </c>
    </row>
    <row r="55" spans="1:26">
      <c r="A55" s="168" t="s">
        <v>6</v>
      </c>
      <c r="B55" s="169" t="s">
        <v>156</v>
      </c>
      <c r="C55" s="315">
        <v>5</v>
      </c>
      <c r="D55" s="170" t="s">
        <v>383</v>
      </c>
      <c r="E55" s="88"/>
      <c r="F55" s="89"/>
      <c r="G55" s="89"/>
      <c r="H55" s="90">
        <v>49</v>
      </c>
      <c r="I55" s="89"/>
      <c r="J55" s="89"/>
      <c r="K55" s="91">
        <v>0</v>
      </c>
      <c r="L55" s="89"/>
      <c r="M55" s="92"/>
      <c r="N55" s="93">
        <f t="shared" si="1"/>
        <v>49</v>
      </c>
      <c r="O55" s="94"/>
      <c r="P55" s="95">
        <f t="shared" si="2"/>
        <v>0</v>
      </c>
      <c r="Q55" s="96">
        <f t="shared" si="3"/>
        <v>0</v>
      </c>
      <c r="R55" s="96">
        <f t="shared" si="4"/>
        <v>0</v>
      </c>
      <c r="S55" s="97"/>
      <c r="T55" s="98">
        <f t="shared" si="8"/>
        <v>0</v>
      </c>
      <c r="U55" s="97"/>
      <c r="V55" s="99">
        <f t="shared" si="5"/>
        <v>0</v>
      </c>
      <c r="Y55" s="171">
        <f t="shared" si="6"/>
        <v>0</v>
      </c>
      <c r="Z55" s="171">
        <f t="shared" si="7"/>
        <v>0</v>
      </c>
    </row>
    <row r="56" spans="1:26">
      <c r="A56" s="168" t="s">
        <v>6</v>
      </c>
      <c r="B56" s="169" t="s">
        <v>157</v>
      </c>
      <c r="C56" s="315">
        <v>5</v>
      </c>
      <c r="D56" s="170" t="s">
        <v>383</v>
      </c>
      <c r="E56" s="88"/>
      <c r="F56" s="89"/>
      <c r="G56" s="89"/>
      <c r="H56" s="90">
        <v>27</v>
      </c>
      <c r="I56" s="89"/>
      <c r="J56" s="89"/>
      <c r="K56" s="91">
        <v>5</v>
      </c>
      <c r="L56" s="89"/>
      <c r="M56" s="92"/>
      <c r="N56" s="93">
        <f t="shared" si="1"/>
        <v>22</v>
      </c>
      <c r="O56" s="94"/>
      <c r="P56" s="95">
        <f t="shared" si="2"/>
        <v>0</v>
      </c>
      <c r="Q56" s="96">
        <f t="shared" si="3"/>
        <v>0</v>
      </c>
      <c r="R56" s="96">
        <f t="shared" si="4"/>
        <v>0</v>
      </c>
      <c r="S56" s="97"/>
      <c r="T56" s="98">
        <f t="shared" si="8"/>
        <v>0</v>
      </c>
      <c r="U56" s="97"/>
      <c r="V56" s="99">
        <f t="shared" si="5"/>
        <v>0</v>
      </c>
      <c r="Y56" s="171">
        <f t="shared" si="6"/>
        <v>0</v>
      </c>
      <c r="Z56" s="171">
        <f t="shared" si="7"/>
        <v>0</v>
      </c>
    </row>
    <row r="57" spans="1:26">
      <c r="A57" s="168" t="s">
        <v>6</v>
      </c>
      <c r="B57" s="172" t="s">
        <v>158</v>
      </c>
      <c r="C57" s="316">
        <v>5</v>
      </c>
      <c r="D57" s="170" t="s">
        <v>383</v>
      </c>
      <c r="E57" s="88"/>
      <c r="F57" s="89"/>
      <c r="G57" s="89"/>
      <c r="H57" s="90">
        <v>67</v>
      </c>
      <c r="I57" s="89"/>
      <c r="J57" s="89"/>
      <c r="K57" s="91">
        <v>0</v>
      </c>
      <c r="L57" s="89"/>
      <c r="M57" s="92"/>
      <c r="N57" s="93">
        <f t="shared" si="1"/>
        <v>67</v>
      </c>
      <c r="O57" s="94"/>
      <c r="P57" s="95">
        <f t="shared" si="2"/>
        <v>0</v>
      </c>
      <c r="Q57" s="96">
        <f t="shared" si="3"/>
        <v>0</v>
      </c>
      <c r="R57" s="96">
        <f t="shared" si="4"/>
        <v>0</v>
      </c>
      <c r="S57" s="97"/>
      <c r="T57" s="98">
        <f t="shared" si="8"/>
        <v>0</v>
      </c>
      <c r="U57" s="97"/>
      <c r="V57" s="99">
        <f t="shared" si="5"/>
        <v>0</v>
      </c>
      <c r="Y57" s="171">
        <f t="shared" si="6"/>
        <v>0</v>
      </c>
      <c r="Z57" s="171">
        <f t="shared" si="7"/>
        <v>0</v>
      </c>
    </row>
    <row r="58" spans="1:26">
      <c r="A58" s="168" t="s">
        <v>6</v>
      </c>
      <c r="B58" s="169" t="s">
        <v>159</v>
      </c>
      <c r="C58" s="315">
        <v>5</v>
      </c>
      <c r="D58" s="170" t="s">
        <v>383</v>
      </c>
      <c r="E58" s="88"/>
      <c r="F58" s="89"/>
      <c r="G58" s="89"/>
      <c r="H58" s="90">
        <v>61</v>
      </c>
      <c r="I58" s="89"/>
      <c r="J58" s="89"/>
      <c r="K58" s="91">
        <v>0</v>
      </c>
      <c r="L58" s="89"/>
      <c r="M58" s="92"/>
      <c r="N58" s="93">
        <f t="shared" si="1"/>
        <v>61</v>
      </c>
      <c r="O58" s="94"/>
      <c r="P58" s="95">
        <f t="shared" si="2"/>
        <v>0</v>
      </c>
      <c r="Q58" s="96">
        <f t="shared" si="3"/>
        <v>0</v>
      </c>
      <c r="R58" s="96">
        <f t="shared" si="4"/>
        <v>0</v>
      </c>
      <c r="S58" s="97"/>
      <c r="T58" s="98">
        <f t="shared" si="8"/>
        <v>0</v>
      </c>
      <c r="U58" s="97"/>
      <c r="V58" s="99">
        <f t="shared" si="5"/>
        <v>0</v>
      </c>
      <c r="Y58" s="171">
        <f t="shared" si="6"/>
        <v>0</v>
      </c>
      <c r="Z58" s="171">
        <f t="shared" si="7"/>
        <v>0</v>
      </c>
    </row>
    <row r="59" spans="1:26">
      <c r="A59" s="168" t="s">
        <v>6</v>
      </c>
      <c r="B59" s="169" t="s">
        <v>160</v>
      </c>
      <c r="C59" s="315">
        <v>5</v>
      </c>
      <c r="D59" s="170" t="s">
        <v>383</v>
      </c>
      <c r="E59" s="88"/>
      <c r="F59" s="89"/>
      <c r="G59" s="89"/>
      <c r="H59" s="90">
        <v>33</v>
      </c>
      <c r="I59" s="89"/>
      <c r="J59" s="89"/>
      <c r="K59" s="91">
        <v>7</v>
      </c>
      <c r="L59" s="89"/>
      <c r="M59" s="92"/>
      <c r="N59" s="93">
        <f t="shared" si="1"/>
        <v>26</v>
      </c>
      <c r="O59" s="94"/>
      <c r="P59" s="95">
        <f t="shared" si="2"/>
        <v>0</v>
      </c>
      <c r="Q59" s="96">
        <f t="shared" si="3"/>
        <v>0</v>
      </c>
      <c r="R59" s="96">
        <f t="shared" si="4"/>
        <v>0</v>
      </c>
      <c r="S59" s="97"/>
      <c r="T59" s="98">
        <f t="shared" si="8"/>
        <v>0</v>
      </c>
      <c r="U59" s="97"/>
      <c r="V59" s="99">
        <f t="shared" si="5"/>
        <v>0</v>
      </c>
      <c r="Y59" s="171">
        <f t="shared" si="6"/>
        <v>0</v>
      </c>
      <c r="Z59" s="171">
        <f t="shared" si="7"/>
        <v>0</v>
      </c>
    </row>
    <row r="60" spans="1:26">
      <c r="A60" s="168" t="s">
        <v>6</v>
      </c>
      <c r="B60" s="169" t="s">
        <v>161</v>
      </c>
      <c r="C60" s="315">
        <v>5</v>
      </c>
      <c r="D60" s="170" t="s">
        <v>383</v>
      </c>
      <c r="E60" s="88"/>
      <c r="F60" s="89"/>
      <c r="G60" s="89"/>
      <c r="H60" s="90">
        <v>50</v>
      </c>
      <c r="I60" s="89"/>
      <c r="J60" s="89"/>
      <c r="K60" s="91">
        <v>0</v>
      </c>
      <c r="L60" s="89"/>
      <c r="M60" s="92"/>
      <c r="N60" s="93">
        <f t="shared" si="1"/>
        <v>50</v>
      </c>
      <c r="O60" s="94"/>
      <c r="P60" s="95">
        <f t="shared" si="2"/>
        <v>0</v>
      </c>
      <c r="Q60" s="96">
        <f t="shared" si="3"/>
        <v>0</v>
      </c>
      <c r="R60" s="96">
        <f t="shared" si="4"/>
        <v>0</v>
      </c>
      <c r="S60" s="97"/>
      <c r="T60" s="98">
        <f t="shared" si="8"/>
        <v>0</v>
      </c>
      <c r="U60" s="97"/>
      <c r="V60" s="99">
        <f t="shared" si="5"/>
        <v>0</v>
      </c>
      <c r="Y60" s="171">
        <f t="shared" si="6"/>
        <v>0</v>
      </c>
      <c r="Z60" s="171">
        <f t="shared" si="7"/>
        <v>0</v>
      </c>
    </row>
    <row r="61" spans="1:26">
      <c r="A61" s="168" t="s">
        <v>6</v>
      </c>
      <c r="B61" s="169" t="s">
        <v>162</v>
      </c>
      <c r="C61" s="315">
        <v>5</v>
      </c>
      <c r="D61" s="170" t="s">
        <v>383</v>
      </c>
      <c r="E61" s="88"/>
      <c r="F61" s="89"/>
      <c r="G61" s="89"/>
      <c r="H61" s="90">
        <v>27</v>
      </c>
      <c r="I61" s="89"/>
      <c r="J61" s="89"/>
      <c r="K61" s="91">
        <v>5</v>
      </c>
      <c r="L61" s="89"/>
      <c r="M61" s="92"/>
      <c r="N61" s="93">
        <f t="shared" si="1"/>
        <v>22</v>
      </c>
      <c r="O61" s="94"/>
      <c r="P61" s="95">
        <f t="shared" si="2"/>
        <v>0</v>
      </c>
      <c r="Q61" s="96">
        <f t="shared" si="3"/>
        <v>0</v>
      </c>
      <c r="R61" s="96">
        <f t="shared" si="4"/>
        <v>0</v>
      </c>
      <c r="S61" s="97"/>
      <c r="T61" s="98">
        <f t="shared" si="8"/>
        <v>0</v>
      </c>
      <c r="U61" s="97"/>
      <c r="V61" s="99">
        <f t="shared" si="5"/>
        <v>0</v>
      </c>
      <c r="Y61" s="171">
        <f t="shared" si="6"/>
        <v>0</v>
      </c>
      <c r="Z61" s="171">
        <f t="shared" si="7"/>
        <v>0</v>
      </c>
    </row>
    <row r="62" spans="1:26">
      <c r="A62" s="168" t="s">
        <v>6</v>
      </c>
      <c r="B62" s="169" t="s">
        <v>141</v>
      </c>
      <c r="C62" s="315">
        <v>6</v>
      </c>
      <c r="D62" s="170" t="s">
        <v>381</v>
      </c>
      <c r="E62" s="88"/>
      <c r="F62" s="89"/>
      <c r="G62" s="89"/>
      <c r="H62" s="90">
        <v>52</v>
      </c>
      <c r="I62" s="89"/>
      <c r="J62" s="89"/>
      <c r="K62" s="91">
        <v>0</v>
      </c>
      <c r="L62" s="89"/>
      <c r="M62" s="92"/>
      <c r="N62" s="93">
        <f t="shared" si="1"/>
        <v>52</v>
      </c>
      <c r="O62" s="94"/>
      <c r="P62" s="95">
        <f t="shared" si="2"/>
        <v>0</v>
      </c>
      <c r="Q62" s="96">
        <f t="shared" si="3"/>
        <v>0</v>
      </c>
      <c r="R62" s="96">
        <f t="shared" si="4"/>
        <v>0</v>
      </c>
      <c r="S62" s="97"/>
      <c r="T62" s="98">
        <f t="shared" si="8"/>
        <v>0</v>
      </c>
      <c r="U62" s="97"/>
      <c r="V62" s="99">
        <f t="shared" si="5"/>
        <v>0</v>
      </c>
      <c r="Y62" s="171">
        <f t="shared" si="6"/>
        <v>0</v>
      </c>
      <c r="Z62" s="171">
        <f t="shared" si="7"/>
        <v>0</v>
      </c>
    </row>
    <row r="63" spans="1:26">
      <c r="A63" s="168" t="s">
        <v>6</v>
      </c>
      <c r="B63" s="169" t="s">
        <v>142</v>
      </c>
      <c r="C63" s="315">
        <v>6</v>
      </c>
      <c r="D63" s="170" t="s">
        <v>381</v>
      </c>
      <c r="E63" s="88"/>
      <c r="F63" s="89"/>
      <c r="G63" s="89"/>
      <c r="H63" s="90">
        <v>41</v>
      </c>
      <c r="I63" s="89"/>
      <c r="J63" s="89"/>
      <c r="K63" s="91">
        <v>8</v>
      </c>
      <c r="L63" s="89"/>
      <c r="M63" s="92"/>
      <c r="N63" s="93">
        <f t="shared" si="1"/>
        <v>33</v>
      </c>
      <c r="O63" s="94"/>
      <c r="P63" s="95">
        <f t="shared" si="2"/>
        <v>0</v>
      </c>
      <c r="Q63" s="96">
        <f t="shared" si="3"/>
        <v>0</v>
      </c>
      <c r="R63" s="96">
        <f t="shared" si="4"/>
        <v>0</v>
      </c>
      <c r="S63" s="97"/>
      <c r="T63" s="98">
        <f t="shared" si="8"/>
        <v>0</v>
      </c>
      <c r="U63" s="97"/>
      <c r="V63" s="99">
        <f t="shared" si="5"/>
        <v>0</v>
      </c>
      <c r="Y63" s="171">
        <f t="shared" si="6"/>
        <v>0</v>
      </c>
      <c r="Z63" s="171">
        <f t="shared" si="7"/>
        <v>0</v>
      </c>
    </row>
    <row r="64" spans="1:26">
      <c r="A64" s="168" t="s">
        <v>6</v>
      </c>
      <c r="B64" s="169" t="s">
        <v>143</v>
      </c>
      <c r="C64" s="315">
        <v>6</v>
      </c>
      <c r="D64" s="170" t="s">
        <v>381</v>
      </c>
      <c r="E64" s="88"/>
      <c r="F64" s="89"/>
      <c r="G64" s="89"/>
      <c r="H64" s="90">
        <v>50</v>
      </c>
      <c r="I64" s="89"/>
      <c r="J64" s="89"/>
      <c r="K64" s="91">
        <v>0</v>
      </c>
      <c r="L64" s="89"/>
      <c r="M64" s="92"/>
      <c r="N64" s="93">
        <f t="shared" si="1"/>
        <v>50</v>
      </c>
      <c r="O64" s="94"/>
      <c r="P64" s="95">
        <f t="shared" si="2"/>
        <v>0</v>
      </c>
      <c r="Q64" s="96">
        <f t="shared" si="3"/>
        <v>0</v>
      </c>
      <c r="R64" s="96">
        <f t="shared" si="4"/>
        <v>0</v>
      </c>
      <c r="S64" s="97"/>
      <c r="T64" s="98">
        <f t="shared" si="8"/>
        <v>0</v>
      </c>
      <c r="U64" s="97"/>
      <c r="V64" s="99">
        <f t="shared" si="5"/>
        <v>0</v>
      </c>
      <c r="Y64" s="171">
        <f t="shared" si="6"/>
        <v>0</v>
      </c>
      <c r="Z64" s="171">
        <f t="shared" si="7"/>
        <v>0</v>
      </c>
    </row>
    <row r="65" spans="1:26">
      <c r="A65" s="168" t="s">
        <v>6</v>
      </c>
      <c r="B65" s="169" t="s">
        <v>144</v>
      </c>
      <c r="C65" s="315">
        <v>6</v>
      </c>
      <c r="D65" s="170" t="s">
        <v>381</v>
      </c>
      <c r="E65" s="88"/>
      <c r="F65" s="89"/>
      <c r="G65" s="89"/>
      <c r="H65" s="90">
        <v>61</v>
      </c>
      <c r="I65" s="89"/>
      <c r="J65" s="89"/>
      <c r="K65" s="91">
        <v>12</v>
      </c>
      <c r="L65" s="89"/>
      <c r="M65" s="92"/>
      <c r="N65" s="93">
        <f t="shared" si="1"/>
        <v>49</v>
      </c>
      <c r="O65" s="94"/>
      <c r="P65" s="95">
        <f t="shared" si="2"/>
        <v>0</v>
      </c>
      <c r="Q65" s="96">
        <f t="shared" si="3"/>
        <v>0</v>
      </c>
      <c r="R65" s="96">
        <f t="shared" si="4"/>
        <v>0</v>
      </c>
      <c r="S65" s="97"/>
      <c r="T65" s="98">
        <f t="shared" si="8"/>
        <v>0</v>
      </c>
      <c r="U65" s="97"/>
      <c r="V65" s="99">
        <f t="shared" si="5"/>
        <v>0</v>
      </c>
      <c r="Y65" s="171">
        <f t="shared" si="6"/>
        <v>0</v>
      </c>
      <c r="Z65" s="171">
        <f t="shared" si="7"/>
        <v>0</v>
      </c>
    </row>
    <row r="66" spans="1:26">
      <c r="A66" s="168" t="s">
        <v>6</v>
      </c>
      <c r="B66" s="172" t="s">
        <v>147</v>
      </c>
      <c r="C66" s="316">
        <v>6</v>
      </c>
      <c r="D66" s="170" t="s">
        <v>381</v>
      </c>
      <c r="E66" s="88"/>
      <c r="F66" s="89"/>
      <c r="G66" s="89"/>
      <c r="H66" s="90">
        <v>60</v>
      </c>
      <c r="I66" s="89"/>
      <c r="J66" s="89"/>
      <c r="K66" s="91">
        <v>0</v>
      </c>
      <c r="L66" s="89"/>
      <c r="M66" s="92"/>
      <c r="N66" s="93">
        <f t="shared" si="1"/>
        <v>60</v>
      </c>
      <c r="O66" s="94"/>
      <c r="P66" s="95">
        <f t="shared" si="2"/>
        <v>0</v>
      </c>
      <c r="Q66" s="96">
        <f t="shared" si="3"/>
        <v>0</v>
      </c>
      <c r="R66" s="96">
        <f t="shared" si="4"/>
        <v>0</v>
      </c>
      <c r="S66" s="97"/>
      <c r="T66" s="98">
        <f t="shared" si="8"/>
        <v>0</v>
      </c>
      <c r="U66" s="97"/>
      <c r="V66" s="99">
        <f t="shared" si="5"/>
        <v>0</v>
      </c>
      <c r="Y66" s="171">
        <f t="shared" si="6"/>
        <v>0</v>
      </c>
      <c r="Z66" s="171">
        <f t="shared" si="7"/>
        <v>0</v>
      </c>
    </row>
    <row r="67" spans="1:26">
      <c r="A67" s="168" t="s">
        <v>6</v>
      </c>
      <c r="B67" s="172" t="s">
        <v>148</v>
      </c>
      <c r="C67" s="316">
        <v>6</v>
      </c>
      <c r="D67" s="170" t="s">
        <v>381</v>
      </c>
      <c r="E67" s="88"/>
      <c r="F67" s="89"/>
      <c r="G67" s="89"/>
      <c r="H67" s="90">
        <v>30</v>
      </c>
      <c r="I67" s="89"/>
      <c r="J67" s="89"/>
      <c r="K67" s="91">
        <v>0</v>
      </c>
      <c r="L67" s="89"/>
      <c r="M67" s="92"/>
      <c r="N67" s="93">
        <f t="shared" si="1"/>
        <v>30</v>
      </c>
      <c r="O67" s="94"/>
      <c r="P67" s="95">
        <f t="shared" si="2"/>
        <v>0</v>
      </c>
      <c r="Q67" s="96">
        <f t="shared" si="3"/>
        <v>0</v>
      </c>
      <c r="R67" s="96">
        <f t="shared" si="4"/>
        <v>0</v>
      </c>
      <c r="S67" s="97"/>
      <c r="T67" s="98">
        <f t="shared" si="8"/>
        <v>0</v>
      </c>
      <c r="U67" s="97"/>
      <c r="V67" s="99">
        <f t="shared" si="5"/>
        <v>0</v>
      </c>
      <c r="Y67" s="171">
        <f t="shared" si="6"/>
        <v>0</v>
      </c>
      <c r="Z67" s="171">
        <f t="shared" si="7"/>
        <v>0</v>
      </c>
    </row>
    <row r="68" spans="1:26">
      <c r="A68" s="168" t="s">
        <v>6</v>
      </c>
      <c r="B68" s="169" t="s">
        <v>149</v>
      </c>
      <c r="C68" s="315">
        <v>6</v>
      </c>
      <c r="D68" s="170" t="s">
        <v>384</v>
      </c>
      <c r="E68" s="88"/>
      <c r="F68" s="89"/>
      <c r="G68" s="89"/>
      <c r="H68" s="90">
        <v>48</v>
      </c>
      <c r="I68" s="89"/>
      <c r="J68" s="89"/>
      <c r="K68" s="91">
        <v>0</v>
      </c>
      <c r="L68" s="89"/>
      <c r="M68" s="92"/>
      <c r="N68" s="93">
        <f t="shared" si="1"/>
        <v>48</v>
      </c>
      <c r="O68" s="94"/>
      <c r="P68" s="95">
        <f t="shared" si="2"/>
        <v>0</v>
      </c>
      <c r="Q68" s="96">
        <f t="shared" si="3"/>
        <v>0</v>
      </c>
      <c r="R68" s="96">
        <f t="shared" si="4"/>
        <v>0</v>
      </c>
      <c r="S68" s="97"/>
      <c r="T68" s="98">
        <f t="shared" si="8"/>
        <v>0</v>
      </c>
      <c r="U68" s="97"/>
      <c r="V68" s="99">
        <f t="shared" si="5"/>
        <v>0</v>
      </c>
      <c r="Y68" s="171">
        <f t="shared" si="6"/>
        <v>0</v>
      </c>
      <c r="Z68" s="171">
        <f t="shared" si="7"/>
        <v>0</v>
      </c>
    </row>
    <row r="69" spans="1:26">
      <c r="A69" s="168" t="s">
        <v>6</v>
      </c>
      <c r="B69" s="169" t="s">
        <v>150</v>
      </c>
      <c r="C69" s="315">
        <v>6</v>
      </c>
      <c r="D69" s="170" t="s">
        <v>384</v>
      </c>
      <c r="E69" s="88"/>
      <c r="F69" s="89"/>
      <c r="G69" s="89"/>
      <c r="H69" s="90">
        <v>18</v>
      </c>
      <c r="I69" s="89"/>
      <c r="J69" s="89"/>
      <c r="K69" s="91">
        <v>4</v>
      </c>
      <c r="L69" s="89"/>
      <c r="M69" s="92"/>
      <c r="N69" s="93">
        <f t="shared" si="1"/>
        <v>14</v>
      </c>
      <c r="O69" s="94"/>
      <c r="P69" s="95">
        <f t="shared" si="2"/>
        <v>0</v>
      </c>
      <c r="Q69" s="96">
        <f t="shared" si="3"/>
        <v>0</v>
      </c>
      <c r="R69" s="96">
        <f t="shared" si="4"/>
        <v>0</v>
      </c>
      <c r="S69" s="97"/>
      <c r="T69" s="98">
        <f t="shared" ref="T69:T85" si="9">S69*H69</f>
        <v>0</v>
      </c>
      <c r="U69" s="97"/>
      <c r="V69" s="99">
        <f t="shared" si="5"/>
        <v>0</v>
      </c>
      <c r="Y69" s="171">
        <f t="shared" si="6"/>
        <v>0</v>
      </c>
      <c r="Z69" s="171">
        <f t="shared" si="7"/>
        <v>0</v>
      </c>
    </row>
    <row r="70" spans="1:26">
      <c r="A70" s="168" t="s">
        <v>6</v>
      </c>
      <c r="B70" s="169" t="s">
        <v>156</v>
      </c>
      <c r="C70" s="315">
        <v>6</v>
      </c>
      <c r="D70" s="170" t="s">
        <v>384</v>
      </c>
      <c r="E70" s="88"/>
      <c r="F70" s="89"/>
      <c r="G70" s="89"/>
      <c r="H70" s="90">
        <v>42</v>
      </c>
      <c r="I70" s="89"/>
      <c r="J70" s="89"/>
      <c r="K70" s="91">
        <v>0</v>
      </c>
      <c r="L70" s="89"/>
      <c r="M70" s="92"/>
      <c r="N70" s="93">
        <f t="shared" ref="N70:N209" si="10">H70-K70</f>
        <v>42</v>
      </c>
      <c r="O70" s="94"/>
      <c r="P70" s="95">
        <f t="shared" ref="P70:P197" si="11">N70*O70</f>
        <v>0</v>
      </c>
      <c r="Q70" s="96">
        <f t="shared" ref="Q70:Q197" si="12">J70-O70</f>
        <v>0</v>
      </c>
      <c r="R70" s="96">
        <f t="shared" ref="R70:R197" si="13">N70*Q70</f>
        <v>0</v>
      </c>
      <c r="S70" s="97"/>
      <c r="T70" s="98">
        <f t="shared" si="9"/>
        <v>0</v>
      </c>
      <c r="U70" s="97"/>
      <c r="V70" s="99">
        <f t="shared" ref="V70:V209" si="14">H70*U70</f>
        <v>0</v>
      </c>
      <c r="Y70" s="171">
        <f t="shared" ref="Y70:Y197" si="15">K70*O70</f>
        <v>0</v>
      </c>
      <c r="Z70" s="171">
        <f t="shared" ref="Z70:Z197" si="16">K70*Q70</f>
        <v>0</v>
      </c>
    </row>
    <row r="71" spans="1:26">
      <c r="A71" s="168" t="s">
        <v>6</v>
      </c>
      <c r="B71" s="169" t="s">
        <v>157</v>
      </c>
      <c r="C71" s="315">
        <v>6</v>
      </c>
      <c r="D71" s="170" t="s">
        <v>384</v>
      </c>
      <c r="E71" s="88"/>
      <c r="F71" s="89"/>
      <c r="G71" s="89"/>
      <c r="H71" s="90">
        <v>22</v>
      </c>
      <c r="I71" s="89"/>
      <c r="J71" s="89"/>
      <c r="K71" s="91">
        <v>4</v>
      </c>
      <c r="L71" s="89"/>
      <c r="M71" s="92"/>
      <c r="N71" s="93">
        <f t="shared" si="10"/>
        <v>18</v>
      </c>
      <c r="O71" s="94"/>
      <c r="P71" s="95">
        <f t="shared" si="11"/>
        <v>0</v>
      </c>
      <c r="Q71" s="96">
        <f t="shared" si="12"/>
        <v>0</v>
      </c>
      <c r="R71" s="96">
        <f t="shared" si="13"/>
        <v>0</v>
      </c>
      <c r="S71" s="97"/>
      <c r="T71" s="98">
        <f t="shared" si="9"/>
        <v>0</v>
      </c>
      <c r="U71" s="97"/>
      <c r="V71" s="99">
        <f t="shared" si="14"/>
        <v>0</v>
      </c>
      <c r="Y71" s="171">
        <f t="shared" si="15"/>
        <v>0</v>
      </c>
      <c r="Z71" s="171">
        <f t="shared" si="16"/>
        <v>0</v>
      </c>
    </row>
    <row r="72" spans="1:26">
      <c r="A72" s="168" t="s">
        <v>6</v>
      </c>
      <c r="B72" s="172" t="s">
        <v>158</v>
      </c>
      <c r="C72" s="316">
        <v>6</v>
      </c>
      <c r="D72" s="170" t="s">
        <v>384</v>
      </c>
      <c r="E72" s="88"/>
      <c r="F72" s="89"/>
      <c r="G72" s="89"/>
      <c r="H72" s="90">
        <v>70</v>
      </c>
      <c r="I72" s="89"/>
      <c r="J72" s="89"/>
      <c r="K72" s="91">
        <v>0</v>
      </c>
      <c r="L72" s="89"/>
      <c r="M72" s="92"/>
      <c r="N72" s="93">
        <f t="shared" si="10"/>
        <v>70</v>
      </c>
      <c r="O72" s="94"/>
      <c r="P72" s="95">
        <f t="shared" si="11"/>
        <v>0</v>
      </c>
      <c r="Q72" s="96">
        <f t="shared" si="12"/>
        <v>0</v>
      </c>
      <c r="R72" s="96">
        <f t="shared" si="13"/>
        <v>0</v>
      </c>
      <c r="S72" s="97"/>
      <c r="T72" s="98">
        <f t="shared" si="9"/>
        <v>0</v>
      </c>
      <c r="U72" s="97"/>
      <c r="V72" s="99">
        <f t="shared" si="14"/>
        <v>0</v>
      </c>
      <c r="Y72" s="171">
        <f t="shared" si="15"/>
        <v>0</v>
      </c>
      <c r="Z72" s="171">
        <f t="shared" si="16"/>
        <v>0</v>
      </c>
    </row>
    <row r="73" spans="1:26">
      <c r="A73" s="168" t="s">
        <v>6</v>
      </c>
      <c r="B73" s="169" t="s">
        <v>159</v>
      </c>
      <c r="C73" s="315">
        <v>6</v>
      </c>
      <c r="D73" s="170" t="s">
        <v>384</v>
      </c>
      <c r="E73" s="88"/>
      <c r="F73" s="89"/>
      <c r="G73" s="89"/>
      <c r="H73" s="90">
        <v>54</v>
      </c>
      <c r="I73" s="89"/>
      <c r="J73" s="89"/>
      <c r="K73" s="91">
        <v>0</v>
      </c>
      <c r="L73" s="89"/>
      <c r="M73" s="92"/>
      <c r="N73" s="93">
        <f t="shared" si="10"/>
        <v>54</v>
      </c>
      <c r="O73" s="94"/>
      <c r="P73" s="95">
        <f t="shared" si="11"/>
        <v>0</v>
      </c>
      <c r="Q73" s="96">
        <f t="shared" si="12"/>
        <v>0</v>
      </c>
      <c r="R73" s="96">
        <f t="shared" si="13"/>
        <v>0</v>
      </c>
      <c r="S73" s="97"/>
      <c r="T73" s="98">
        <f t="shared" si="9"/>
        <v>0</v>
      </c>
      <c r="U73" s="97"/>
      <c r="V73" s="99">
        <f t="shared" si="14"/>
        <v>0</v>
      </c>
      <c r="Y73" s="171">
        <f t="shared" si="15"/>
        <v>0</v>
      </c>
      <c r="Z73" s="171">
        <f t="shared" si="16"/>
        <v>0</v>
      </c>
    </row>
    <row r="74" spans="1:26">
      <c r="A74" s="168" t="s">
        <v>6</v>
      </c>
      <c r="B74" s="169" t="s">
        <v>160</v>
      </c>
      <c r="C74" s="315">
        <v>6</v>
      </c>
      <c r="D74" s="170" t="s">
        <v>384</v>
      </c>
      <c r="E74" s="88"/>
      <c r="F74" s="89"/>
      <c r="G74" s="89"/>
      <c r="H74" s="90">
        <v>35</v>
      </c>
      <c r="I74" s="89"/>
      <c r="J74" s="89"/>
      <c r="K74" s="91">
        <v>7</v>
      </c>
      <c r="L74" s="89"/>
      <c r="M74" s="92"/>
      <c r="N74" s="93">
        <f t="shared" si="10"/>
        <v>28</v>
      </c>
      <c r="O74" s="94"/>
      <c r="P74" s="95">
        <f t="shared" si="11"/>
        <v>0</v>
      </c>
      <c r="Q74" s="96">
        <f t="shared" si="12"/>
        <v>0</v>
      </c>
      <c r="R74" s="96">
        <f t="shared" si="13"/>
        <v>0</v>
      </c>
      <c r="S74" s="97"/>
      <c r="T74" s="98">
        <f t="shared" si="9"/>
        <v>0</v>
      </c>
      <c r="U74" s="97"/>
      <c r="V74" s="99">
        <f t="shared" si="14"/>
        <v>0</v>
      </c>
      <c r="Y74" s="171">
        <f t="shared" si="15"/>
        <v>0</v>
      </c>
      <c r="Z74" s="171">
        <f t="shared" si="16"/>
        <v>0</v>
      </c>
    </row>
    <row r="75" spans="1:26">
      <c r="A75" s="168" t="s">
        <v>6</v>
      </c>
      <c r="B75" s="169" t="s">
        <v>161</v>
      </c>
      <c r="C75" s="315">
        <v>6</v>
      </c>
      <c r="D75" s="170" t="s">
        <v>384</v>
      </c>
      <c r="E75" s="88"/>
      <c r="F75" s="89"/>
      <c r="G75" s="89"/>
      <c r="H75" s="90">
        <v>47</v>
      </c>
      <c r="I75" s="89"/>
      <c r="J75" s="89"/>
      <c r="K75" s="91">
        <v>0</v>
      </c>
      <c r="L75" s="89"/>
      <c r="M75" s="92"/>
      <c r="N75" s="93">
        <f t="shared" si="10"/>
        <v>47</v>
      </c>
      <c r="O75" s="94"/>
      <c r="P75" s="95">
        <f t="shared" si="11"/>
        <v>0</v>
      </c>
      <c r="Q75" s="96">
        <f t="shared" si="12"/>
        <v>0</v>
      </c>
      <c r="R75" s="96">
        <f t="shared" si="13"/>
        <v>0</v>
      </c>
      <c r="S75" s="97"/>
      <c r="T75" s="98">
        <f t="shared" si="9"/>
        <v>0</v>
      </c>
      <c r="U75" s="97"/>
      <c r="V75" s="99">
        <f t="shared" si="14"/>
        <v>0</v>
      </c>
      <c r="Y75" s="171">
        <f t="shared" si="15"/>
        <v>0</v>
      </c>
      <c r="Z75" s="171">
        <f t="shared" si="16"/>
        <v>0</v>
      </c>
    </row>
    <row r="76" spans="1:26">
      <c r="A76" s="168" t="s">
        <v>6</v>
      </c>
      <c r="B76" s="169" t="s">
        <v>162</v>
      </c>
      <c r="C76" s="315">
        <v>6</v>
      </c>
      <c r="D76" s="170" t="s">
        <v>384</v>
      </c>
      <c r="E76" s="88"/>
      <c r="F76" s="89"/>
      <c r="G76" s="89"/>
      <c r="H76" s="90">
        <v>28</v>
      </c>
      <c r="I76" s="89"/>
      <c r="J76" s="89"/>
      <c r="K76" s="91">
        <v>6</v>
      </c>
      <c r="L76" s="89"/>
      <c r="M76" s="92"/>
      <c r="N76" s="93">
        <f t="shared" si="10"/>
        <v>22</v>
      </c>
      <c r="O76" s="94"/>
      <c r="P76" s="95">
        <f t="shared" si="11"/>
        <v>0</v>
      </c>
      <c r="Q76" s="96">
        <f t="shared" si="12"/>
        <v>0</v>
      </c>
      <c r="R76" s="96">
        <f t="shared" si="13"/>
        <v>0</v>
      </c>
      <c r="S76" s="97"/>
      <c r="T76" s="98">
        <f t="shared" si="9"/>
        <v>0</v>
      </c>
      <c r="U76" s="97"/>
      <c r="V76" s="99">
        <f t="shared" si="14"/>
        <v>0</v>
      </c>
      <c r="Y76" s="171">
        <f t="shared" si="15"/>
        <v>0</v>
      </c>
      <c r="Z76" s="171">
        <f t="shared" si="16"/>
        <v>0</v>
      </c>
    </row>
    <row r="77" spans="1:26">
      <c r="A77" s="173" t="s">
        <v>7</v>
      </c>
      <c r="B77" s="174" t="s">
        <v>163</v>
      </c>
      <c r="C77" s="317">
        <v>1</v>
      </c>
      <c r="D77" s="175" t="s">
        <v>386</v>
      </c>
      <c r="E77" s="100"/>
      <c r="F77" s="101"/>
      <c r="G77" s="101"/>
      <c r="H77" s="102">
        <v>73</v>
      </c>
      <c r="I77" s="101"/>
      <c r="J77" s="101"/>
      <c r="K77" s="103">
        <v>6</v>
      </c>
      <c r="L77" s="101"/>
      <c r="M77" s="104"/>
      <c r="N77" s="105">
        <f t="shared" si="10"/>
        <v>67</v>
      </c>
      <c r="O77" s="106"/>
      <c r="P77" s="107">
        <f t="shared" si="11"/>
        <v>0</v>
      </c>
      <c r="Q77" s="108">
        <f t="shared" si="12"/>
        <v>0</v>
      </c>
      <c r="R77" s="108">
        <f t="shared" si="13"/>
        <v>0</v>
      </c>
      <c r="S77" s="109"/>
      <c r="T77" s="110">
        <f t="shared" si="9"/>
        <v>0</v>
      </c>
      <c r="U77" s="109"/>
      <c r="V77" s="111">
        <f t="shared" si="14"/>
        <v>0</v>
      </c>
      <c r="Y77" s="171">
        <f t="shared" si="15"/>
        <v>0</v>
      </c>
      <c r="Z77" s="171">
        <f t="shared" si="16"/>
        <v>0</v>
      </c>
    </row>
    <row r="78" spans="1:26">
      <c r="A78" s="173" t="s">
        <v>7</v>
      </c>
      <c r="B78" s="174" t="s">
        <v>164</v>
      </c>
      <c r="C78" s="317">
        <v>1</v>
      </c>
      <c r="D78" s="175" t="s">
        <v>386</v>
      </c>
      <c r="E78" s="100"/>
      <c r="F78" s="101"/>
      <c r="G78" s="101"/>
      <c r="H78" s="102">
        <v>47</v>
      </c>
      <c r="I78" s="101"/>
      <c r="J78" s="101"/>
      <c r="K78" s="103">
        <v>4</v>
      </c>
      <c r="L78" s="101"/>
      <c r="M78" s="104"/>
      <c r="N78" s="105">
        <f t="shared" si="10"/>
        <v>43</v>
      </c>
      <c r="O78" s="106"/>
      <c r="P78" s="107">
        <f t="shared" si="11"/>
        <v>0</v>
      </c>
      <c r="Q78" s="108">
        <f t="shared" si="12"/>
        <v>0</v>
      </c>
      <c r="R78" s="108">
        <f t="shared" si="13"/>
        <v>0</v>
      </c>
      <c r="S78" s="109"/>
      <c r="T78" s="110">
        <f t="shared" si="9"/>
        <v>0</v>
      </c>
      <c r="U78" s="109"/>
      <c r="V78" s="111">
        <f t="shared" si="14"/>
        <v>0</v>
      </c>
      <c r="Y78" s="171">
        <f t="shared" si="15"/>
        <v>0</v>
      </c>
      <c r="Z78" s="171">
        <f t="shared" si="16"/>
        <v>0</v>
      </c>
    </row>
    <row r="79" spans="1:26">
      <c r="A79" s="173" t="s">
        <v>7</v>
      </c>
      <c r="B79" s="174" t="s">
        <v>165</v>
      </c>
      <c r="C79" s="317">
        <v>1</v>
      </c>
      <c r="D79" s="175" t="s">
        <v>380</v>
      </c>
      <c r="E79" s="100"/>
      <c r="F79" s="101"/>
      <c r="G79" s="101"/>
      <c r="H79" s="102">
        <v>66</v>
      </c>
      <c r="I79" s="101"/>
      <c r="J79" s="101"/>
      <c r="K79" s="103">
        <v>6</v>
      </c>
      <c r="L79" s="101"/>
      <c r="M79" s="104"/>
      <c r="N79" s="105">
        <f t="shared" si="10"/>
        <v>60</v>
      </c>
      <c r="O79" s="106"/>
      <c r="P79" s="107">
        <f t="shared" si="11"/>
        <v>0</v>
      </c>
      <c r="Q79" s="108">
        <f t="shared" si="12"/>
        <v>0</v>
      </c>
      <c r="R79" s="108">
        <f t="shared" si="13"/>
        <v>0</v>
      </c>
      <c r="S79" s="109"/>
      <c r="T79" s="110">
        <f t="shared" si="9"/>
        <v>0</v>
      </c>
      <c r="U79" s="109"/>
      <c r="V79" s="111">
        <f t="shared" si="14"/>
        <v>0</v>
      </c>
      <c r="Y79" s="171">
        <f t="shared" si="15"/>
        <v>0</v>
      </c>
      <c r="Z79" s="171">
        <f t="shared" si="16"/>
        <v>0</v>
      </c>
    </row>
    <row r="80" spans="1:26">
      <c r="A80" s="173" t="s">
        <v>7</v>
      </c>
      <c r="B80" s="174" t="s">
        <v>166</v>
      </c>
      <c r="C80" s="317">
        <v>1</v>
      </c>
      <c r="D80" s="175" t="s">
        <v>380</v>
      </c>
      <c r="E80" s="100"/>
      <c r="F80" s="101"/>
      <c r="G80" s="101"/>
      <c r="H80" s="102">
        <v>127</v>
      </c>
      <c r="I80" s="101"/>
      <c r="J80" s="101"/>
      <c r="K80" s="103">
        <v>11</v>
      </c>
      <c r="L80" s="101"/>
      <c r="M80" s="104"/>
      <c r="N80" s="105">
        <f t="shared" si="10"/>
        <v>116</v>
      </c>
      <c r="O80" s="106"/>
      <c r="P80" s="107">
        <f t="shared" si="11"/>
        <v>0</v>
      </c>
      <c r="Q80" s="108">
        <f t="shared" si="12"/>
        <v>0</v>
      </c>
      <c r="R80" s="108">
        <f t="shared" si="13"/>
        <v>0</v>
      </c>
      <c r="S80" s="109"/>
      <c r="T80" s="110">
        <f t="shared" si="9"/>
        <v>0</v>
      </c>
      <c r="U80" s="109"/>
      <c r="V80" s="111">
        <f t="shared" si="14"/>
        <v>0</v>
      </c>
      <c r="Y80" s="171">
        <f t="shared" si="15"/>
        <v>0</v>
      </c>
      <c r="Z80" s="171">
        <f t="shared" si="16"/>
        <v>0</v>
      </c>
    </row>
    <row r="81" spans="1:26">
      <c r="A81" s="173" t="s">
        <v>7</v>
      </c>
      <c r="B81" s="174" t="s">
        <v>167</v>
      </c>
      <c r="C81" s="317">
        <v>1</v>
      </c>
      <c r="D81" s="175" t="s">
        <v>380</v>
      </c>
      <c r="E81" s="100"/>
      <c r="F81" s="101"/>
      <c r="G81" s="101"/>
      <c r="H81" s="102">
        <v>82</v>
      </c>
      <c r="I81" s="101"/>
      <c r="J81" s="101"/>
      <c r="K81" s="103">
        <v>7</v>
      </c>
      <c r="L81" s="101"/>
      <c r="M81" s="104"/>
      <c r="N81" s="105">
        <f t="shared" si="10"/>
        <v>75</v>
      </c>
      <c r="O81" s="106"/>
      <c r="P81" s="107">
        <f t="shared" si="11"/>
        <v>0</v>
      </c>
      <c r="Q81" s="108">
        <f t="shared" si="12"/>
        <v>0</v>
      </c>
      <c r="R81" s="108">
        <f t="shared" si="13"/>
        <v>0</v>
      </c>
      <c r="S81" s="109"/>
      <c r="T81" s="110">
        <f t="shared" si="9"/>
        <v>0</v>
      </c>
      <c r="U81" s="109"/>
      <c r="V81" s="111">
        <f t="shared" si="14"/>
        <v>0</v>
      </c>
      <c r="Y81" s="171">
        <f t="shared" si="15"/>
        <v>0</v>
      </c>
      <c r="Z81" s="171">
        <f t="shared" si="16"/>
        <v>0</v>
      </c>
    </row>
    <row r="82" spans="1:26">
      <c r="A82" s="173" t="s">
        <v>7</v>
      </c>
      <c r="B82" s="174" t="s">
        <v>168</v>
      </c>
      <c r="C82" s="317">
        <v>1</v>
      </c>
      <c r="D82" s="175" t="s">
        <v>380</v>
      </c>
      <c r="E82" s="100"/>
      <c r="F82" s="101"/>
      <c r="G82" s="101"/>
      <c r="H82" s="102">
        <v>27</v>
      </c>
      <c r="I82" s="101"/>
      <c r="J82" s="101"/>
      <c r="K82" s="103">
        <v>2</v>
      </c>
      <c r="L82" s="101"/>
      <c r="M82" s="104"/>
      <c r="N82" s="105">
        <f t="shared" si="10"/>
        <v>25</v>
      </c>
      <c r="O82" s="106"/>
      <c r="P82" s="107">
        <f t="shared" si="11"/>
        <v>0</v>
      </c>
      <c r="Q82" s="108">
        <f t="shared" si="12"/>
        <v>0</v>
      </c>
      <c r="R82" s="108">
        <f t="shared" si="13"/>
        <v>0</v>
      </c>
      <c r="S82" s="109"/>
      <c r="T82" s="110">
        <f t="shared" si="9"/>
        <v>0</v>
      </c>
      <c r="U82" s="109"/>
      <c r="V82" s="111">
        <f t="shared" si="14"/>
        <v>0</v>
      </c>
      <c r="Y82" s="171">
        <f t="shared" si="15"/>
        <v>0</v>
      </c>
      <c r="Z82" s="171">
        <f t="shared" si="16"/>
        <v>0</v>
      </c>
    </row>
    <row r="83" spans="1:26">
      <c r="A83" s="173" t="s">
        <v>7</v>
      </c>
      <c r="B83" s="176" t="s">
        <v>169</v>
      </c>
      <c r="C83" s="318">
        <v>1</v>
      </c>
      <c r="D83" s="175" t="s">
        <v>380</v>
      </c>
      <c r="E83" s="100"/>
      <c r="F83" s="101"/>
      <c r="G83" s="101"/>
      <c r="H83" s="102">
        <v>78</v>
      </c>
      <c r="I83" s="101"/>
      <c r="J83" s="101"/>
      <c r="K83" s="103">
        <v>7</v>
      </c>
      <c r="L83" s="101"/>
      <c r="M83" s="104"/>
      <c r="N83" s="105">
        <f t="shared" si="10"/>
        <v>71</v>
      </c>
      <c r="O83" s="106"/>
      <c r="P83" s="107">
        <f t="shared" si="11"/>
        <v>0</v>
      </c>
      <c r="Q83" s="108">
        <f t="shared" si="12"/>
        <v>0</v>
      </c>
      <c r="R83" s="108">
        <f t="shared" si="13"/>
        <v>0</v>
      </c>
      <c r="S83" s="109"/>
      <c r="T83" s="110">
        <f t="shared" si="9"/>
        <v>0</v>
      </c>
      <c r="U83" s="109"/>
      <c r="V83" s="111">
        <f t="shared" si="14"/>
        <v>0</v>
      </c>
      <c r="Y83" s="171">
        <f t="shared" si="15"/>
        <v>0</v>
      </c>
      <c r="Z83" s="171">
        <f t="shared" si="16"/>
        <v>0</v>
      </c>
    </row>
    <row r="84" spans="1:26">
      <c r="A84" s="173" t="s">
        <v>7</v>
      </c>
      <c r="B84" s="174" t="s">
        <v>163</v>
      </c>
      <c r="C84" s="317">
        <v>2</v>
      </c>
      <c r="D84" s="175" t="s">
        <v>382</v>
      </c>
      <c r="E84" s="100"/>
      <c r="F84" s="101"/>
      <c r="G84" s="101"/>
      <c r="H84" s="102">
        <v>69</v>
      </c>
      <c r="I84" s="101"/>
      <c r="J84" s="101"/>
      <c r="K84" s="103">
        <v>6</v>
      </c>
      <c r="L84" s="101"/>
      <c r="M84" s="104"/>
      <c r="N84" s="105">
        <f t="shared" si="10"/>
        <v>63</v>
      </c>
      <c r="O84" s="106"/>
      <c r="P84" s="107">
        <f t="shared" si="11"/>
        <v>0</v>
      </c>
      <c r="Q84" s="108">
        <f t="shared" si="12"/>
        <v>0</v>
      </c>
      <c r="R84" s="108">
        <f t="shared" si="13"/>
        <v>0</v>
      </c>
      <c r="S84" s="109"/>
      <c r="T84" s="110">
        <f t="shared" si="9"/>
        <v>0</v>
      </c>
      <c r="U84" s="109"/>
      <c r="V84" s="111">
        <f t="shared" si="14"/>
        <v>0</v>
      </c>
      <c r="Y84" s="171">
        <f t="shared" si="15"/>
        <v>0</v>
      </c>
      <c r="Z84" s="171">
        <f t="shared" si="16"/>
        <v>0</v>
      </c>
    </row>
    <row r="85" spans="1:26">
      <c r="A85" s="173" t="s">
        <v>7</v>
      </c>
      <c r="B85" s="174" t="s">
        <v>164</v>
      </c>
      <c r="C85" s="317">
        <v>2</v>
      </c>
      <c r="D85" s="175" t="s">
        <v>382</v>
      </c>
      <c r="E85" s="100"/>
      <c r="F85" s="101"/>
      <c r="G85" s="101"/>
      <c r="H85" s="102">
        <v>51</v>
      </c>
      <c r="I85" s="101"/>
      <c r="J85" s="101"/>
      <c r="K85" s="103">
        <v>4</v>
      </c>
      <c r="L85" s="101"/>
      <c r="M85" s="104"/>
      <c r="N85" s="105">
        <f t="shared" si="10"/>
        <v>47</v>
      </c>
      <c r="O85" s="106"/>
      <c r="P85" s="107">
        <f t="shared" si="11"/>
        <v>0</v>
      </c>
      <c r="Q85" s="108">
        <f t="shared" si="12"/>
        <v>0</v>
      </c>
      <c r="R85" s="108">
        <f t="shared" si="13"/>
        <v>0</v>
      </c>
      <c r="S85" s="109"/>
      <c r="T85" s="110">
        <f t="shared" si="9"/>
        <v>0</v>
      </c>
      <c r="U85" s="109"/>
      <c r="V85" s="111">
        <f t="shared" si="14"/>
        <v>0</v>
      </c>
      <c r="Y85" s="171">
        <f t="shared" si="15"/>
        <v>0</v>
      </c>
      <c r="Z85" s="171">
        <f t="shared" si="16"/>
        <v>0</v>
      </c>
    </row>
    <row r="86" spans="1:26">
      <c r="A86" s="173" t="s">
        <v>7</v>
      </c>
      <c r="B86" s="174" t="s">
        <v>165</v>
      </c>
      <c r="C86" s="317">
        <v>2</v>
      </c>
      <c r="D86" s="175" t="s">
        <v>382</v>
      </c>
      <c r="E86" s="100"/>
      <c r="F86" s="101"/>
      <c r="G86" s="101"/>
      <c r="H86" s="102">
        <v>78</v>
      </c>
      <c r="I86" s="101"/>
      <c r="J86" s="101"/>
      <c r="K86" s="103">
        <v>7</v>
      </c>
      <c r="L86" s="101"/>
      <c r="M86" s="104"/>
      <c r="N86" s="105">
        <f t="shared" ref="N86:N149" si="17">H86-K86</f>
        <v>71</v>
      </c>
      <c r="O86" s="106"/>
      <c r="P86" s="107">
        <f t="shared" ref="P86:P149" si="18">N86*O86</f>
        <v>0</v>
      </c>
      <c r="Q86" s="108">
        <f t="shared" ref="Q86:Q149" si="19">J86-O86</f>
        <v>0</v>
      </c>
      <c r="R86" s="108">
        <f t="shared" ref="R86:R149" si="20">N86*Q86</f>
        <v>0</v>
      </c>
      <c r="S86" s="109"/>
      <c r="T86" s="110">
        <f t="shared" ref="T86:T149" si="21">S86*H86</f>
        <v>0</v>
      </c>
      <c r="U86" s="109"/>
      <c r="V86" s="111">
        <f t="shared" ref="V86:V149" si="22">H86*U86</f>
        <v>0</v>
      </c>
      <c r="Y86" s="171">
        <f t="shared" ref="Y86:Y149" si="23">K86*O86</f>
        <v>0</v>
      </c>
      <c r="Z86" s="171">
        <f t="shared" ref="Z86:Z149" si="24">K86*Q86</f>
        <v>0</v>
      </c>
    </row>
    <row r="87" spans="1:26">
      <c r="A87" s="173" t="s">
        <v>7</v>
      </c>
      <c r="B87" s="174" t="s">
        <v>166</v>
      </c>
      <c r="C87" s="317">
        <v>2</v>
      </c>
      <c r="D87" s="175" t="s">
        <v>382</v>
      </c>
      <c r="E87" s="100"/>
      <c r="F87" s="101"/>
      <c r="G87" s="101"/>
      <c r="H87" s="102">
        <v>122</v>
      </c>
      <c r="I87" s="101"/>
      <c r="J87" s="101"/>
      <c r="K87" s="103">
        <v>11</v>
      </c>
      <c r="L87" s="101"/>
      <c r="M87" s="104"/>
      <c r="N87" s="105">
        <f t="shared" si="17"/>
        <v>111</v>
      </c>
      <c r="O87" s="106"/>
      <c r="P87" s="107">
        <f t="shared" si="18"/>
        <v>0</v>
      </c>
      <c r="Q87" s="108">
        <f t="shared" si="19"/>
        <v>0</v>
      </c>
      <c r="R87" s="108">
        <f t="shared" si="20"/>
        <v>0</v>
      </c>
      <c r="S87" s="109"/>
      <c r="T87" s="110">
        <f t="shared" si="21"/>
        <v>0</v>
      </c>
      <c r="U87" s="109"/>
      <c r="V87" s="111">
        <f t="shared" si="22"/>
        <v>0</v>
      </c>
      <c r="Y87" s="171">
        <f t="shared" si="23"/>
        <v>0</v>
      </c>
      <c r="Z87" s="171">
        <f t="shared" si="24"/>
        <v>0</v>
      </c>
    </row>
    <row r="88" spans="1:26">
      <c r="A88" s="173" t="s">
        <v>7</v>
      </c>
      <c r="B88" s="174" t="s">
        <v>167</v>
      </c>
      <c r="C88" s="317">
        <v>2</v>
      </c>
      <c r="D88" s="175" t="s">
        <v>382</v>
      </c>
      <c r="E88" s="100"/>
      <c r="F88" s="101"/>
      <c r="G88" s="101"/>
      <c r="H88" s="102">
        <v>82</v>
      </c>
      <c r="I88" s="101"/>
      <c r="J88" s="101"/>
      <c r="K88" s="103">
        <v>7</v>
      </c>
      <c r="L88" s="101"/>
      <c r="M88" s="104"/>
      <c r="N88" s="105">
        <f t="shared" si="17"/>
        <v>75</v>
      </c>
      <c r="O88" s="106"/>
      <c r="P88" s="107">
        <f t="shared" si="18"/>
        <v>0</v>
      </c>
      <c r="Q88" s="108">
        <f t="shared" si="19"/>
        <v>0</v>
      </c>
      <c r="R88" s="108">
        <f t="shared" si="20"/>
        <v>0</v>
      </c>
      <c r="S88" s="109"/>
      <c r="T88" s="110">
        <f t="shared" si="21"/>
        <v>0</v>
      </c>
      <c r="U88" s="109"/>
      <c r="V88" s="111">
        <f t="shared" si="22"/>
        <v>0</v>
      </c>
      <c r="Y88" s="171">
        <f t="shared" si="23"/>
        <v>0</v>
      </c>
      <c r="Z88" s="171">
        <f t="shared" si="24"/>
        <v>0</v>
      </c>
    </row>
    <row r="89" spans="1:26">
      <c r="A89" s="173" t="s">
        <v>7</v>
      </c>
      <c r="B89" s="174" t="s">
        <v>168</v>
      </c>
      <c r="C89" s="317">
        <v>2</v>
      </c>
      <c r="D89" s="175" t="s">
        <v>382</v>
      </c>
      <c r="E89" s="100"/>
      <c r="F89" s="101"/>
      <c r="G89" s="101"/>
      <c r="H89" s="102">
        <v>26</v>
      </c>
      <c r="I89" s="101"/>
      <c r="J89" s="101"/>
      <c r="K89" s="103">
        <v>2</v>
      </c>
      <c r="L89" s="101"/>
      <c r="M89" s="104"/>
      <c r="N89" s="105">
        <f t="shared" si="17"/>
        <v>24</v>
      </c>
      <c r="O89" s="106"/>
      <c r="P89" s="107">
        <f t="shared" si="18"/>
        <v>0</v>
      </c>
      <c r="Q89" s="108">
        <f t="shared" si="19"/>
        <v>0</v>
      </c>
      <c r="R89" s="108">
        <f t="shared" si="20"/>
        <v>0</v>
      </c>
      <c r="S89" s="109"/>
      <c r="T89" s="110">
        <f t="shared" si="21"/>
        <v>0</v>
      </c>
      <c r="U89" s="109"/>
      <c r="V89" s="111">
        <f t="shared" si="22"/>
        <v>0</v>
      </c>
      <c r="Y89" s="171">
        <f t="shared" si="23"/>
        <v>0</v>
      </c>
      <c r="Z89" s="171">
        <f t="shared" si="24"/>
        <v>0</v>
      </c>
    </row>
    <row r="90" spans="1:26">
      <c r="A90" s="173" t="s">
        <v>7</v>
      </c>
      <c r="B90" s="176" t="s">
        <v>169</v>
      </c>
      <c r="C90" s="318">
        <v>2</v>
      </c>
      <c r="D90" s="175" t="s">
        <v>382</v>
      </c>
      <c r="E90" s="100"/>
      <c r="F90" s="101"/>
      <c r="G90" s="101"/>
      <c r="H90" s="102">
        <v>81</v>
      </c>
      <c r="I90" s="101"/>
      <c r="J90" s="101"/>
      <c r="K90" s="103">
        <v>7</v>
      </c>
      <c r="L90" s="101"/>
      <c r="M90" s="104"/>
      <c r="N90" s="105">
        <f t="shared" si="17"/>
        <v>74</v>
      </c>
      <c r="O90" s="106"/>
      <c r="P90" s="107">
        <f t="shared" si="18"/>
        <v>0</v>
      </c>
      <c r="Q90" s="108">
        <f t="shared" si="19"/>
        <v>0</v>
      </c>
      <c r="R90" s="108">
        <f t="shared" si="20"/>
        <v>0</v>
      </c>
      <c r="S90" s="109"/>
      <c r="T90" s="110">
        <f t="shared" si="21"/>
        <v>0</v>
      </c>
      <c r="U90" s="109"/>
      <c r="V90" s="111">
        <f t="shared" si="22"/>
        <v>0</v>
      </c>
      <c r="Y90" s="171">
        <f t="shared" si="23"/>
        <v>0</v>
      </c>
      <c r="Z90" s="171">
        <f t="shared" si="24"/>
        <v>0</v>
      </c>
    </row>
    <row r="91" spans="1:26">
      <c r="A91" s="173" t="s">
        <v>7</v>
      </c>
      <c r="B91" s="174" t="s">
        <v>163</v>
      </c>
      <c r="C91" s="317">
        <v>3</v>
      </c>
      <c r="D91" s="175" t="s">
        <v>383</v>
      </c>
      <c r="E91" s="100"/>
      <c r="F91" s="101"/>
      <c r="G91" s="101"/>
      <c r="H91" s="102">
        <v>86</v>
      </c>
      <c r="I91" s="101"/>
      <c r="J91" s="101"/>
      <c r="K91" s="103">
        <v>8</v>
      </c>
      <c r="L91" s="101"/>
      <c r="M91" s="104"/>
      <c r="N91" s="105">
        <f t="shared" si="17"/>
        <v>78</v>
      </c>
      <c r="O91" s="106"/>
      <c r="P91" s="107">
        <f t="shared" si="18"/>
        <v>0</v>
      </c>
      <c r="Q91" s="108">
        <f t="shared" si="19"/>
        <v>0</v>
      </c>
      <c r="R91" s="108">
        <f t="shared" si="20"/>
        <v>0</v>
      </c>
      <c r="S91" s="109"/>
      <c r="T91" s="110">
        <f t="shared" si="21"/>
        <v>0</v>
      </c>
      <c r="U91" s="109"/>
      <c r="V91" s="111">
        <f t="shared" si="22"/>
        <v>0</v>
      </c>
      <c r="Y91" s="171">
        <f t="shared" si="23"/>
        <v>0</v>
      </c>
      <c r="Z91" s="171">
        <f t="shared" si="24"/>
        <v>0</v>
      </c>
    </row>
    <row r="92" spans="1:26">
      <c r="A92" s="173" t="s">
        <v>7</v>
      </c>
      <c r="B92" s="174" t="s">
        <v>164</v>
      </c>
      <c r="C92" s="317">
        <v>3</v>
      </c>
      <c r="D92" s="175" t="s">
        <v>383</v>
      </c>
      <c r="E92" s="100"/>
      <c r="F92" s="101"/>
      <c r="G92" s="101"/>
      <c r="H92" s="102">
        <v>47</v>
      </c>
      <c r="I92" s="101"/>
      <c r="J92" s="101"/>
      <c r="K92" s="103">
        <v>4</v>
      </c>
      <c r="L92" s="101"/>
      <c r="M92" s="104"/>
      <c r="N92" s="105">
        <f t="shared" si="17"/>
        <v>43</v>
      </c>
      <c r="O92" s="106"/>
      <c r="P92" s="107">
        <f t="shared" si="18"/>
        <v>0</v>
      </c>
      <c r="Q92" s="108">
        <f t="shared" si="19"/>
        <v>0</v>
      </c>
      <c r="R92" s="108">
        <f t="shared" si="20"/>
        <v>0</v>
      </c>
      <c r="S92" s="109"/>
      <c r="T92" s="110">
        <f t="shared" si="21"/>
        <v>0</v>
      </c>
      <c r="U92" s="109"/>
      <c r="V92" s="111">
        <f t="shared" si="22"/>
        <v>0</v>
      </c>
      <c r="Y92" s="171">
        <f t="shared" si="23"/>
        <v>0</v>
      </c>
      <c r="Z92" s="171">
        <f t="shared" si="24"/>
        <v>0</v>
      </c>
    </row>
    <row r="93" spans="1:26">
      <c r="A93" s="173" t="s">
        <v>7</v>
      </c>
      <c r="B93" s="174" t="s">
        <v>165</v>
      </c>
      <c r="C93" s="317">
        <v>3</v>
      </c>
      <c r="D93" s="175" t="s">
        <v>383</v>
      </c>
      <c r="E93" s="100"/>
      <c r="F93" s="101"/>
      <c r="G93" s="101"/>
      <c r="H93" s="102">
        <v>82</v>
      </c>
      <c r="I93" s="101"/>
      <c r="J93" s="101"/>
      <c r="K93" s="103">
        <v>7</v>
      </c>
      <c r="L93" s="101"/>
      <c r="M93" s="104"/>
      <c r="N93" s="105">
        <f t="shared" si="17"/>
        <v>75</v>
      </c>
      <c r="O93" s="106"/>
      <c r="P93" s="107">
        <f t="shared" si="18"/>
        <v>0</v>
      </c>
      <c r="Q93" s="108">
        <f t="shared" si="19"/>
        <v>0</v>
      </c>
      <c r="R93" s="108">
        <f t="shared" si="20"/>
        <v>0</v>
      </c>
      <c r="S93" s="109"/>
      <c r="T93" s="110">
        <f t="shared" si="21"/>
        <v>0</v>
      </c>
      <c r="U93" s="109"/>
      <c r="V93" s="111">
        <f t="shared" si="22"/>
        <v>0</v>
      </c>
      <c r="Y93" s="171">
        <f t="shared" si="23"/>
        <v>0</v>
      </c>
      <c r="Z93" s="171">
        <f t="shared" si="24"/>
        <v>0</v>
      </c>
    </row>
    <row r="94" spans="1:26">
      <c r="A94" s="173" t="s">
        <v>7</v>
      </c>
      <c r="B94" s="174" t="s">
        <v>166</v>
      </c>
      <c r="C94" s="317">
        <v>3</v>
      </c>
      <c r="D94" s="175" t="s">
        <v>383</v>
      </c>
      <c r="E94" s="100"/>
      <c r="F94" s="101"/>
      <c r="G94" s="101"/>
      <c r="H94" s="102">
        <v>108</v>
      </c>
      <c r="I94" s="101"/>
      <c r="J94" s="101"/>
      <c r="K94" s="103">
        <v>9</v>
      </c>
      <c r="L94" s="101"/>
      <c r="M94" s="104"/>
      <c r="N94" s="105">
        <f t="shared" si="17"/>
        <v>99</v>
      </c>
      <c r="O94" s="106"/>
      <c r="P94" s="107">
        <f t="shared" si="18"/>
        <v>0</v>
      </c>
      <c r="Q94" s="108">
        <f t="shared" si="19"/>
        <v>0</v>
      </c>
      <c r="R94" s="108">
        <f t="shared" si="20"/>
        <v>0</v>
      </c>
      <c r="S94" s="109"/>
      <c r="T94" s="110">
        <f t="shared" si="21"/>
        <v>0</v>
      </c>
      <c r="U94" s="109"/>
      <c r="V94" s="111">
        <f t="shared" si="22"/>
        <v>0</v>
      </c>
      <c r="Y94" s="171">
        <f t="shared" si="23"/>
        <v>0</v>
      </c>
      <c r="Z94" s="171">
        <f t="shared" si="24"/>
        <v>0</v>
      </c>
    </row>
    <row r="95" spans="1:26">
      <c r="A95" s="173" t="s">
        <v>7</v>
      </c>
      <c r="B95" s="176" t="s">
        <v>169</v>
      </c>
      <c r="C95" s="318">
        <v>3</v>
      </c>
      <c r="D95" s="175" t="s">
        <v>383</v>
      </c>
      <c r="E95" s="100"/>
      <c r="F95" s="101"/>
      <c r="G95" s="101"/>
      <c r="H95" s="102">
        <v>88</v>
      </c>
      <c r="I95" s="101"/>
      <c r="J95" s="101"/>
      <c r="K95" s="103">
        <v>8</v>
      </c>
      <c r="L95" s="101"/>
      <c r="M95" s="104"/>
      <c r="N95" s="105">
        <f t="shared" si="17"/>
        <v>80</v>
      </c>
      <c r="O95" s="106"/>
      <c r="P95" s="107">
        <f t="shared" si="18"/>
        <v>0</v>
      </c>
      <c r="Q95" s="108">
        <f t="shared" si="19"/>
        <v>0</v>
      </c>
      <c r="R95" s="108">
        <f t="shared" si="20"/>
        <v>0</v>
      </c>
      <c r="S95" s="109"/>
      <c r="T95" s="110">
        <f t="shared" si="21"/>
        <v>0</v>
      </c>
      <c r="U95" s="109"/>
      <c r="V95" s="111">
        <f t="shared" si="22"/>
        <v>0</v>
      </c>
      <c r="Y95" s="171">
        <f t="shared" si="23"/>
        <v>0</v>
      </c>
      <c r="Z95" s="171">
        <f t="shared" si="24"/>
        <v>0</v>
      </c>
    </row>
    <row r="96" spans="1:26">
      <c r="A96" s="173" t="s">
        <v>7</v>
      </c>
      <c r="B96" s="176" t="s">
        <v>170</v>
      </c>
      <c r="C96" s="318">
        <v>3</v>
      </c>
      <c r="D96" s="175" t="s">
        <v>380</v>
      </c>
      <c r="E96" s="100"/>
      <c r="F96" s="101"/>
      <c r="G96" s="101"/>
      <c r="H96" s="102">
        <v>53</v>
      </c>
      <c r="I96" s="101"/>
      <c r="J96" s="101"/>
      <c r="K96" s="103">
        <v>5</v>
      </c>
      <c r="L96" s="101"/>
      <c r="M96" s="104"/>
      <c r="N96" s="105">
        <f t="shared" si="17"/>
        <v>48</v>
      </c>
      <c r="O96" s="106"/>
      <c r="P96" s="107">
        <f t="shared" si="18"/>
        <v>0</v>
      </c>
      <c r="Q96" s="108">
        <f t="shared" si="19"/>
        <v>0</v>
      </c>
      <c r="R96" s="108">
        <f t="shared" si="20"/>
        <v>0</v>
      </c>
      <c r="S96" s="109"/>
      <c r="T96" s="110">
        <f t="shared" si="21"/>
        <v>0</v>
      </c>
      <c r="U96" s="109"/>
      <c r="V96" s="111">
        <f t="shared" si="22"/>
        <v>0</v>
      </c>
      <c r="Y96" s="171">
        <f t="shared" si="23"/>
        <v>0</v>
      </c>
      <c r="Z96" s="171">
        <f t="shared" si="24"/>
        <v>0</v>
      </c>
    </row>
    <row r="97" spans="1:26">
      <c r="A97" s="173" t="s">
        <v>7</v>
      </c>
      <c r="B97" s="174" t="s">
        <v>171</v>
      </c>
      <c r="C97" s="317">
        <v>3</v>
      </c>
      <c r="D97" s="175" t="s">
        <v>380</v>
      </c>
      <c r="E97" s="100"/>
      <c r="F97" s="101"/>
      <c r="G97" s="101"/>
      <c r="H97" s="102">
        <v>65</v>
      </c>
      <c r="I97" s="101"/>
      <c r="J97" s="101"/>
      <c r="K97" s="103">
        <v>6</v>
      </c>
      <c r="L97" s="101"/>
      <c r="M97" s="104"/>
      <c r="N97" s="105">
        <f t="shared" si="17"/>
        <v>59</v>
      </c>
      <c r="O97" s="106"/>
      <c r="P97" s="107">
        <f t="shared" si="18"/>
        <v>0</v>
      </c>
      <c r="Q97" s="108">
        <f t="shared" si="19"/>
        <v>0</v>
      </c>
      <c r="R97" s="108">
        <f t="shared" si="20"/>
        <v>0</v>
      </c>
      <c r="S97" s="109"/>
      <c r="T97" s="110">
        <f t="shared" si="21"/>
        <v>0</v>
      </c>
      <c r="U97" s="109"/>
      <c r="V97" s="111">
        <f t="shared" si="22"/>
        <v>0</v>
      </c>
      <c r="Y97" s="171">
        <f t="shared" si="23"/>
        <v>0</v>
      </c>
      <c r="Z97" s="171">
        <f t="shared" si="24"/>
        <v>0</v>
      </c>
    </row>
    <row r="98" spans="1:26">
      <c r="A98" s="173" t="s">
        <v>7</v>
      </c>
      <c r="B98" s="174" t="s">
        <v>172</v>
      </c>
      <c r="C98" s="317">
        <v>3</v>
      </c>
      <c r="D98" s="175" t="s">
        <v>380</v>
      </c>
      <c r="E98" s="100"/>
      <c r="F98" s="101"/>
      <c r="G98" s="101"/>
      <c r="H98" s="102">
        <v>19</v>
      </c>
      <c r="I98" s="101"/>
      <c r="J98" s="101"/>
      <c r="K98" s="103">
        <v>2</v>
      </c>
      <c r="L98" s="101"/>
      <c r="M98" s="104"/>
      <c r="N98" s="105">
        <f t="shared" si="17"/>
        <v>17</v>
      </c>
      <c r="O98" s="106"/>
      <c r="P98" s="107">
        <f t="shared" si="18"/>
        <v>0</v>
      </c>
      <c r="Q98" s="108">
        <f t="shared" si="19"/>
        <v>0</v>
      </c>
      <c r="R98" s="108">
        <f t="shared" si="20"/>
        <v>0</v>
      </c>
      <c r="S98" s="109"/>
      <c r="T98" s="110">
        <f t="shared" si="21"/>
        <v>0</v>
      </c>
      <c r="U98" s="109"/>
      <c r="V98" s="111">
        <f t="shared" si="22"/>
        <v>0</v>
      </c>
      <c r="Y98" s="171">
        <f t="shared" si="23"/>
        <v>0</v>
      </c>
      <c r="Z98" s="171">
        <f t="shared" si="24"/>
        <v>0</v>
      </c>
    </row>
    <row r="99" spans="1:26">
      <c r="A99" s="173" t="s">
        <v>7</v>
      </c>
      <c r="B99" s="174" t="s">
        <v>173</v>
      </c>
      <c r="C99" s="317">
        <v>3</v>
      </c>
      <c r="D99" s="175" t="s">
        <v>380</v>
      </c>
      <c r="E99" s="100"/>
      <c r="F99" s="101"/>
      <c r="G99" s="101"/>
      <c r="H99" s="102">
        <v>78</v>
      </c>
      <c r="I99" s="101"/>
      <c r="J99" s="101"/>
      <c r="K99" s="103">
        <v>7</v>
      </c>
      <c r="L99" s="101"/>
      <c r="M99" s="104"/>
      <c r="N99" s="105">
        <f t="shared" si="17"/>
        <v>71</v>
      </c>
      <c r="O99" s="106"/>
      <c r="P99" s="107">
        <f t="shared" si="18"/>
        <v>0</v>
      </c>
      <c r="Q99" s="108">
        <f t="shared" si="19"/>
        <v>0</v>
      </c>
      <c r="R99" s="108">
        <f t="shared" si="20"/>
        <v>0</v>
      </c>
      <c r="S99" s="109"/>
      <c r="T99" s="110">
        <f t="shared" si="21"/>
        <v>0</v>
      </c>
      <c r="U99" s="109"/>
      <c r="V99" s="111">
        <f t="shared" si="22"/>
        <v>0</v>
      </c>
      <c r="Y99" s="171">
        <f t="shared" si="23"/>
        <v>0</v>
      </c>
      <c r="Z99" s="171">
        <f t="shared" si="24"/>
        <v>0</v>
      </c>
    </row>
    <row r="100" spans="1:26">
      <c r="A100" s="173" t="s">
        <v>7</v>
      </c>
      <c r="B100" s="174" t="s">
        <v>174</v>
      </c>
      <c r="C100" s="317">
        <v>3</v>
      </c>
      <c r="D100" s="175" t="s">
        <v>380</v>
      </c>
      <c r="E100" s="100"/>
      <c r="F100" s="101"/>
      <c r="G100" s="101"/>
      <c r="H100" s="102">
        <v>34</v>
      </c>
      <c r="I100" s="101"/>
      <c r="J100" s="101"/>
      <c r="K100" s="103">
        <v>3</v>
      </c>
      <c r="L100" s="101"/>
      <c r="M100" s="104"/>
      <c r="N100" s="105">
        <f t="shared" si="17"/>
        <v>31</v>
      </c>
      <c r="O100" s="106"/>
      <c r="P100" s="107">
        <f t="shared" si="18"/>
        <v>0</v>
      </c>
      <c r="Q100" s="108">
        <f t="shared" si="19"/>
        <v>0</v>
      </c>
      <c r="R100" s="108">
        <f t="shared" si="20"/>
        <v>0</v>
      </c>
      <c r="S100" s="109"/>
      <c r="T100" s="110">
        <f t="shared" si="21"/>
        <v>0</v>
      </c>
      <c r="U100" s="109"/>
      <c r="V100" s="111">
        <f t="shared" si="22"/>
        <v>0</v>
      </c>
      <c r="Y100" s="171">
        <f t="shared" si="23"/>
        <v>0</v>
      </c>
      <c r="Z100" s="171">
        <f t="shared" si="24"/>
        <v>0</v>
      </c>
    </row>
    <row r="101" spans="1:26">
      <c r="A101" s="173" t="s">
        <v>7</v>
      </c>
      <c r="B101" s="176" t="s">
        <v>175</v>
      </c>
      <c r="C101" s="318">
        <v>3</v>
      </c>
      <c r="D101" s="175" t="s">
        <v>380</v>
      </c>
      <c r="E101" s="100"/>
      <c r="F101" s="101"/>
      <c r="G101" s="101"/>
      <c r="H101" s="102">
        <v>86</v>
      </c>
      <c r="I101" s="101"/>
      <c r="J101" s="101"/>
      <c r="K101" s="103">
        <v>8</v>
      </c>
      <c r="L101" s="101"/>
      <c r="M101" s="104"/>
      <c r="N101" s="105">
        <f t="shared" si="17"/>
        <v>78</v>
      </c>
      <c r="O101" s="106"/>
      <c r="P101" s="107">
        <f t="shared" si="18"/>
        <v>0</v>
      </c>
      <c r="Q101" s="108">
        <f t="shared" si="19"/>
        <v>0</v>
      </c>
      <c r="R101" s="108">
        <f t="shared" si="20"/>
        <v>0</v>
      </c>
      <c r="S101" s="109"/>
      <c r="T101" s="110">
        <f t="shared" si="21"/>
        <v>0</v>
      </c>
      <c r="U101" s="109"/>
      <c r="V101" s="111">
        <f t="shared" si="22"/>
        <v>0</v>
      </c>
      <c r="Y101" s="171">
        <f t="shared" si="23"/>
        <v>0</v>
      </c>
      <c r="Z101" s="171">
        <f t="shared" si="24"/>
        <v>0</v>
      </c>
    </row>
    <row r="102" spans="1:26">
      <c r="A102" s="173" t="s">
        <v>7</v>
      </c>
      <c r="B102" s="174" t="s">
        <v>176</v>
      </c>
      <c r="C102" s="317">
        <v>3</v>
      </c>
      <c r="D102" s="175" t="s">
        <v>380</v>
      </c>
      <c r="E102" s="100"/>
      <c r="F102" s="101"/>
      <c r="G102" s="101"/>
      <c r="H102" s="102">
        <v>68</v>
      </c>
      <c r="I102" s="101"/>
      <c r="J102" s="101"/>
      <c r="K102" s="103">
        <v>6</v>
      </c>
      <c r="L102" s="101"/>
      <c r="M102" s="104"/>
      <c r="N102" s="105">
        <f t="shared" si="17"/>
        <v>62</v>
      </c>
      <c r="O102" s="106"/>
      <c r="P102" s="107">
        <f t="shared" si="18"/>
        <v>0</v>
      </c>
      <c r="Q102" s="108">
        <f t="shared" si="19"/>
        <v>0</v>
      </c>
      <c r="R102" s="108">
        <f t="shared" si="20"/>
        <v>0</v>
      </c>
      <c r="S102" s="109"/>
      <c r="T102" s="110">
        <f t="shared" si="21"/>
        <v>0</v>
      </c>
      <c r="U102" s="109"/>
      <c r="V102" s="111">
        <f t="shared" si="22"/>
        <v>0</v>
      </c>
      <c r="Y102" s="171">
        <f t="shared" si="23"/>
        <v>0</v>
      </c>
      <c r="Z102" s="171">
        <f t="shared" si="24"/>
        <v>0</v>
      </c>
    </row>
    <row r="103" spans="1:26">
      <c r="A103" s="173" t="s">
        <v>7</v>
      </c>
      <c r="B103" s="174" t="s">
        <v>177</v>
      </c>
      <c r="C103" s="317">
        <v>3</v>
      </c>
      <c r="D103" s="175" t="s">
        <v>380</v>
      </c>
      <c r="E103" s="100"/>
      <c r="F103" s="101"/>
      <c r="G103" s="101"/>
      <c r="H103" s="102">
        <v>27</v>
      </c>
      <c r="I103" s="101"/>
      <c r="J103" s="101"/>
      <c r="K103" s="103">
        <v>2</v>
      </c>
      <c r="L103" s="101"/>
      <c r="M103" s="104"/>
      <c r="N103" s="105">
        <f t="shared" si="17"/>
        <v>25</v>
      </c>
      <c r="O103" s="106"/>
      <c r="P103" s="107">
        <f t="shared" si="18"/>
        <v>0</v>
      </c>
      <c r="Q103" s="108">
        <f t="shared" si="19"/>
        <v>0</v>
      </c>
      <c r="R103" s="108">
        <f t="shared" si="20"/>
        <v>0</v>
      </c>
      <c r="S103" s="109"/>
      <c r="T103" s="110">
        <f t="shared" si="21"/>
        <v>0</v>
      </c>
      <c r="U103" s="109"/>
      <c r="V103" s="111">
        <f t="shared" si="22"/>
        <v>0</v>
      </c>
      <c r="Y103" s="171">
        <f t="shared" si="23"/>
        <v>0</v>
      </c>
      <c r="Z103" s="171">
        <f t="shared" si="24"/>
        <v>0</v>
      </c>
    </row>
    <row r="104" spans="1:26">
      <c r="A104" s="173" t="s">
        <v>7</v>
      </c>
      <c r="B104" s="174" t="s">
        <v>163</v>
      </c>
      <c r="C104" s="317">
        <v>4</v>
      </c>
      <c r="D104" s="175" t="s">
        <v>384</v>
      </c>
      <c r="E104" s="100"/>
      <c r="F104" s="101"/>
      <c r="G104" s="101"/>
      <c r="H104" s="102">
        <v>63</v>
      </c>
      <c r="I104" s="101"/>
      <c r="J104" s="101"/>
      <c r="K104" s="103">
        <v>0</v>
      </c>
      <c r="L104" s="101"/>
      <c r="M104" s="104"/>
      <c r="N104" s="105">
        <f t="shared" si="17"/>
        <v>63</v>
      </c>
      <c r="O104" s="106"/>
      <c r="P104" s="107">
        <f t="shared" si="18"/>
        <v>0</v>
      </c>
      <c r="Q104" s="108">
        <f t="shared" si="19"/>
        <v>0</v>
      </c>
      <c r="R104" s="108">
        <f t="shared" si="20"/>
        <v>0</v>
      </c>
      <c r="S104" s="109"/>
      <c r="T104" s="110">
        <f t="shared" si="21"/>
        <v>0</v>
      </c>
      <c r="U104" s="109"/>
      <c r="V104" s="111">
        <f t="shared" si="22"/>
        <v>0</v>
      </c>
      <c r="Y104" s="171">
        <f t="shared" si="23"/>
        <v>0</v>
      </c>
      <c r="Z104" s="171">
        <f t="shared" si="24"/>
        <v>0</v>
      </c>
    </row>
    <row r="105" spans="1:26">
      <c r="A105" s="173" t="s">
        <v>7</v>
      </c>
      <c r="B105" s="174" t="s">
        <v>164</v>
      </c>
      <c r="C105" s="317">
        <v>4</v>
      </c>
      <c r="D105" s="175" t="s">
        <v>384</v>
      </c>
      <c r="E105" s="100"/>
      <c r="F105" s="101"/>
      <c r="G105" s="101"/>
      <c r="H105" s="102">
        <v>43</v>
      </c>
      <c r="I105" s="101"/>
      <c r="J105" s="101"/>
      <c r="K105" s="103">
        <v>9</v>
      </c>
      <c r="L105" s="101"/>
      <c r="M105" s="104"/>
      <c r="N105" s="105">
        <f t="shared" si="17"/>
        <v>34</v>
      </c>
      <c r="O105" s="106"/>
      <c r="P105" s="107">
        <f t="shared" si="18"/>
        <v>0</v>
      </c>
      <c r="Q105" s="108">
        <f t="shared" si="19"/>
        <v>0</v>
      </c>
      <c r="R105" s="108">
        <f t="shared" si="20"/>
        <v>0</v>
      </c>
      <c r="S105" s="109"/>
      <c r="T105" s="110">
        <f t="shared" si="21"/>
        <v>0</v>
      </c>
      <c r="U105" s="109"/>
      <c r="V105" s="111">
        <f t="shared" si="22"/>
        <v>0</v>
      </c>
      <c r="Y105" s="171">
        <f t="shared" si="23"/>
        <v>0</v>
      </c>
      <c r="Z105" s="171">
        <f t="shared" si="24"/>
        <v>0</v>
      </c>
    </row>
    <row r="106" spans="1:26">
      <c r="A106" s="173" t="s">
        <v>7</v>
      </c>
      <c r="B106" s="174" t="s">
        <v>178</v>
      </c>
      <c r="C106" s="317">
        <v>4</v>
      </c>
      <c r="D106" s="175" t="s">
        <v>384</v>
      </c>
      <c r="E106" s="100"/>
      <c r="F106" s="101"/>
      <c r="G106" s="101"/>
      <c r="H106" s="102">
        <v>62</v>
      </c>
      <c r="I106" s="101"/>
      <c r="J106" s="101"/>
      <c r="K106" s="103">
        <v>0</v>
      </c>
      <c r="L106" s="101"/>
      <c r="M106" s="104"/>
      <c r="N106" s="105">
        <f t="shared" si="17"/>
        <v>62</v>
      </c>
      <c r="O106" s="106"/>
      <c r="P106" s="107">
        <f t="shared" si="18"/>
        <v>0</v>
      </c>
      <c r="Q106" s="108">
        <f t="shared" si="19"/>
        <v>0</v>
      </c>
      <c r="R106" s="108">
        <f t="shared" si="20"/>
        <v>0</v>
      </c>
      <c r="S106" s="109"/>
      <c r="T106" s="110">
        <f t="shared" si="21"/>
        <v>0</v>
      </c>
      <c r="U106" s="109"/>
      <c r="V106" s="111">
        <f t="shared" si="22"/>
        <v>0</v>
      </c>
      <c r="Y106" s="171">
        <f t="shared" si="23"/>
        <v>0</v>
      </c>
      <c r="Z106" s="171">
        <f t="shared" si="24"/>
        <v>0</v>
      </c>
    </row>
    <row r="107" spans="1:26">
      <c r="A107" s="173" t="s">
        <v>7</v>
      </c>
      <c r="B107" s="174" t="s">
        <v>179</v>
      </c>
      <c r="C107" s="317">
        <v>4</v>
      </c>
      <c r="D107" s="175" t="s">
        <v>384</v>
      </c>
      <c r="E107" s="100"/>
      <c r="F107" s="101"/>
      <c r="G107" s="101"/>
      <c r="H107" s="102">
        <v>80</v>
      </c>
      <c r="I107" s="101"/>
      <c r="J107" s="101"/>
      <c r="K107" s="103">
        <v>16</v>
      </c>
      <c r="L107" s="101"/>
      <c r="M107" s="104"/>
      <c r="N107" s="105">
        <f t="shared" si="17"/>
        <v>64</v>
      </c>
      <c r="O107" s="106"/>
      <c r="P107" s="107">
        <f t="shared" si="18"/>
        <v>0</v>
      </c>
      <c r="Q107" s="108">
        <f t="shared" si="19"/>
        <v>0</v>
      </c>
      <c r="R107" s="108">
        <f t="shared" si="20"/>
        <v>0</v>
      </c>
      <c r="S107" s="109"/>
      <c r="T107" s="110">
        <f t="shared" si="21"/>
        <v>0</v>
      </c>
      <c r="U107" s="109"/>
      <c r="V107" s="111">
        <f t="shared" si="22"/>
        <v>0</v>
      </c>
      <c r="Y107" s="171">
        <f t="shared" si="23"/>
        <v>0</v>
      </c>
      <c r="Z107" s="171">
        <f t="shared" si="24"/>
        <v>0</v>
      </c>
    </row>
    <row r="108" spans="1:26">
      <c r="A108" s="173" t="s">
        <v>7</v>
      </c>
      <c r="B108" s="176" t="s">
        <v>169</v>
      </c>
      <c r="C108" s="318">
        <v>4</v>
      </c>
      <c r="D108" s="175" t="s">
        <v>384</v>
      </c>
      <c r="E108" s="100"/>
      <c r="F108" s="101"/>
      <c r="G108" s="101"/>
      <c r="H108" s="102">
        <v>55</v>
      </c>
      <c r="I108" s="101"/>
      <c r="J108" s="101"/>
      <c r="K108" s="103">
        <v>0</v>
      </c>
      <c r="L108" s="101"/>
      <c r="M108" s="104"/>
      <c r="N108" s="105">
        <f t="shared" si="17"/>
        <v>55</v>
      </c>
      <c r="O108" s="106"/>
      <c r="P108" s="107">
        <f t="shared" si="18"/>
        <v>0</v>
      </c>
      <c r="Q108" s="108">
        <f t="shared" si="19"/>
        <v>0</v>
      </c>
      <c r="R108" s="108">
        <f t="shared" si="20"/>
        <v>0</v>
      </c>
      <c r="S108" s="109"/>
      <c r="T108" s="110">
        <f t="shared" si="21"/>
        <v>0</v>
      </c>
      <c r="U108" s="109"/>
      <c r="V108" s="111">
        <f t="shared" si="22"/>
        <v>0</v>
      </c>
      <c r="Y108" s="171">
        <f t="shared" si="23"/>
        <v>0</v>
      </c>
      <c r="Z108" s="171">
        <f t="shared" si="24"/>
        <v>0</v>
      </c>
    </row>
    <row r="109" spans="1:26">
      <c r="A109" s="173" t="s">
        <v>7</v>
      </c>
      <c r="B109" s="176" t="s">
        <v>170</v>
      </c>
      <c r="C109" s="318">
        <v>4</v>
      </c>
      <c r="D109" s="175" t="s">
        <v>384</v>
      </c>
      <c r="E109" s="100"/>
      <c r="F109" s="101"/>
      <c r="G109" s="101"/>
      <c r="H109" s="102">
        <v>33</v>
      </c>
      <c r="I109" s="101"/>
      <c r="J109" s="101"/>
      <c r="K109" s="103">
        <v>0</v>
      </c>
      <c r="L109" s="101"/>
      <c r="M109" s="104"/>
      <c r="N109" s="105">
        <f t="shared" si="17"/>
        <v>33</v>
      </c>
      <c r="O109" s="106"/>
      <c r="P109" s="107">
        <f t="shared" si="18"/>
        <v>0</v>
      </c>
      <c r="Q109" s="108">
        <f t="shared" si="19"/>
        <v>0</v>
      </c>
      <c r="R109" s="108">
        <f t="shared" si="20"/>
        <v>0</v>
      </c>
      <c r="S109" s="109"/>
      <c r="T109" s="110">
        <f t="shared" si="21"/>
        <v>0</v>
      </c>
      <c r="U109" s="109"/>
      <c r="V109" s="111">
        <f t="shared" si="22"/>
        <v>0</v>
      </c>
      <c r="Y109" s="171">
        <f t="shared" si="23"/>
        <v>0</v>
      </c>
      <c r="Z109" s="171">
        <f t="shared" si="24"/>
        <v>0</v>
      </c>
    </row>
    <row r="110" spans="1:26">
      <c r="A110" s="173" t="s">
        <v>7</v>
      </c>
      <c r="B110" s="174" t="s">
        <v>171</v>
      </c>
      <c r="C110" s="317">
        <v>4</v>
      </c>
      <c r="D110" s="175" t="s">
        <v>382</v>
      </c>
      <c r="E110" s="100"/>
      <c r="F110" s="101"/>
      <c r="G110" s="101"/>
      <c r="H110" s="102">
        <v>45</v>
      </c>
      <c r="I110" s="101"/>
      <c r="J110" s="101"/>
      <c r="K110" s="103">
        <v>0</v>
      </c>
      <c r="L110" s="101"/>
      <c r="M110" s="104"/>
      <c r="N110" s="105">
        <f t="shared" si="17"/>
        <v>45</v>
      </c>
      <c r="O110" s="106"/>
      <c r="P110" s="107">
        <f t="shared" si="18"/>
        <v>0</v>
      </c>
      <c r="Q110" s="108">
        <f t="shared" si="19"/>
        <v>0</v>
      </c>
      <c r="R110" s="108">
        <f t="shared" si="20"/>
        <v>0</v>
      </c>
      <c r="S110" s="109"/>
      <c r="T110" s="110">
        <f t="shared" si="21"/>
        <v>0</v>
      </c>
      <c r="U110" s="109"/>
      <c r="V110" s="111">
        <f t="shared" si="22"/>
        <v>0</v>
      </c>
      <c r="Y110" s="171">
        <f t="shared" si="23"/>
        <v>0</v>
      </c>
      <c r="Z110" s="171">
        <f t="shared" si="24"/>
        <v>0</v>
      </c>
    </row>
    <row r="111" spans="1:26">
      <c r="A111" s="173" t="s">
        <v>7</v>
      </c>
      <c r="B111" s="174" t="s">
        <v>172</v>
      </c>
      <c r="C111" s="317">
        <v>4</v>
      </c>
      <c r="D111" s="175" t="s">
        <v>382</v>
      </c>
      <c r="E111" s="100"/>
      <c r="F111" s="101"/>
      <c r="G111" s="101"/>
      <c r="H111" s="102">
        <v>17</v>
      </c>
      <c r="I111" s="101"/>
      <c r="J111" s="101"/>
      <c r="K111" s="103">
        <v>3</v>
      </c>
      <c r="L111" s="101"/>
      <c r="M111" s="104"/>
      <c r="N111" s="105">
        <f t="shared" si="17"/>
        <v>14</v>
      </c>
      <c r="O111" s="106"/>
      <c r="P111" s="107">
        <f t="shared" si="18"/>
        <v>0</v>
      </c>
      <c r="Q111" s="108">
        <f t="shared" si="19"/>
        <v>0</v>
      </c>
      <c r="R111" s="108">
        <f t="shared" si="20"/>
        <v>0</v>
      </c>
      <c r="S111" s="109"/>
      <c r="T111" s="110">
        <f t="shared" si="21"/>
        <v>0</v>
      </c>
      <c r="U111" s="109"/>
      <c r="V111" s="111">
        <f t="shared" si="22"/>
        <v>0</v>
      </c>
      <c r="Y111" s="171">
        <f t="shared" si="23"/>
        <v>0</v>
      </c>
      <c r="Z111" s="171">
        <f t="shared" si="24"/>
        <v>0</v>
      </c>
    </row>
    <row r="112" spans="1:26">
      <c r="A112" s="173" t="s">
        <v>7</v>
      </c>
      <c r="B112" s="174" t="s">
        <v>180</v>
      </c>
      <c r="C112" s="317">
        <v>4</v>
      </c>
      <c r="D112" s="175" t="s">
        <v>382</v>
      </c>
      <c r="E112" s="100"/>
      <c r="F112" s="101"/>
      <c r="G112" s="101"/>
      <c r="H112" s="102">
        <v>37</v>
      </c>
      <c r="I112" s="101"/>
      <c r="J112" s="101"/>
      <c r="K112" s="103">
        <v>0</v>
      </c>
      <c r="L112" s="101"/>
      <c r="M112" s="104"/>
      <c r="N112" s="105">
        <f t="shared" si="17"/>
        <v>37</v>
      </c>
      <c r="O112" s="106"/>
      <c r="P112" s="107">
        <f t="shared" si="18"/>
        <v>0</v>
      </c>
      <c r="Q112" s="108">
        <f t="shared" si="19"/>
        <v>0</v>
      </c>
      <c r="R112" s="108">
        <f t="shared" si="20"/>
        <v>0</v>
      </c>
      <c r="S112" s="109"/>
      <c r="T112" s="110">
        <f t="shared" si="21"/>
        <v>0</v>
      </c>
      <c r="U112" s="109"/>
      <c r="V112" s="111">
        <f t="shared" si="22"/>
        <v>0</v>
      </c>
      <c r="Y112" s="171">
        <f t="shared" si="23"/>
        <v>0</v>
      </c>
      <c r="Z112" s="171">
        <f t="shared" si="24"/>
        <v>0</v>
      </c>
    </row>
    <row r="113" spans="1:26">
      <c r="A113" s="173" t="s">
        <v>7</v>
      </c>
      <c r="B113" s="174" t="s">
        <v>181</v>
      </c>
      <c r="C113" s="317">
        <v>4</v>
      </c>
      <c r="D113" s="175" t="s">
        <v>382</v>
      </c>
      <c r="E113" s="100"/>
      <c r="F113" s="101"/>
      <c r="G113" s="101"/>
      <c r="H113" s="102">
        <v>20</v>
      </c>
      <c r="I113" s="101"/>
      <c r="J113" s="101"/>
      <c r="K113" s="103">
        <v>4</v>
      </c>
      <c r="L113" s="101"/>
      <c r="M113" s="104"/>
      <c r="N113" s="105">
        <f t="shared" si="17"/>
        <v>16</v>
      </c>
      <c r="O113" s="106"/>
      <c r="P113" s="107">
        <f t="shared" si="18"/>
        <v>0</v>
      </c>
      <c r="Q113" s="108">
        <f t="shared" si="19"/>
        <v>0</v>
      </c>
      <c r="R113" s="108">
        <f t="shared" si="20"/>
        <v>0</v>
      </c>
      <c r="S113" s="109"/>
      <c r="T113" s="110">
        <f t="shared" si="21"/>
        <v>0</v>
      </c>
      <c r="U113" s="109"/>
      <c r="V113" s="111">
        <f t="shared" si="22"/>
        <v>0</v>
      </c>
      <c r="Y113" s="171">
        <f t="shared" si="23"/>
        <v>0</v>
      </c>
      <c r="Z113" s="171">
        <f t="shared" si="24"/>
        <v>0</v>
      </c>
    </row>
    <row r="114" spans="1:26">
      <c r="A114" s="173" t="s">
        <v>7</v>
      </c>
      <c r="B114" s="176" t="s">
        <v>182</v>
      </c>
      <c r="C114" s="318">
        <v>4</v>
      </c>
      <c r="D114" s="175" t="s">
        <v>382</v>
      </c>
      <c r="E114" s="100"/>
      <c r="F114" s="101"/>
      <c r="G114" s="101"/>
      <c r="H114" s="102">
        <v>67</v>
      </c>
      <c r="I114" s="101"/>
      <c r="J114" s="101"/>
      <c r="K114" s="103">
        <v>0</v>
      </c>
      <c r="L114" s="101"/>
      <c r="M114" s="104"/>
      <c r="N114" s="105">
        <f t="shared" si="17"/>
        <v>67</v>
      </c>
      <c r="O114" s="106"/>
      <c r="P114" s="107">
        <f t="shared" si="18"/>
        <v>0</v>
      </c>
      <c r="Q114" s="108">
        <f t="shared" si="19"/>
        <v>0</v>
      </c>
      <c r="R114" s="108">
        <f t="shared" si="20"/>
        <v>0</v>
      </c>
      <c r="S114" s="109"/>
      <c r="T114" s="110">
        <f t="shared" si="21"/>
        <v>0</v>
      </c>
      <c r="U114" s="109"/>
      <c r="V114" s="111">
        <f t="shared" si="22"/>
        <v>0</v>
      </c>
      <c r="Y114" s="171">
        <f t="shared" si="23"/>
        <v>0</v>
      </c>
      <c r="Z114" s="171">
        <f t="shared" si="24"/>
        <v>0</v>
      </c>
    </row>
    <row r="115" spans="1:26">
      <c r="A115" s="173" t="s">
        <v>7</v>
      </c>
      <c r="B115" s="174" t="s">
        <v>183</v>
      </c>
      <c r="C115" s="317">
        <v>4</v>
      </c>
      <c r="D115" s="175" t="s">
        <v>382</v>
      </c>
      <c r="E115" s="100"/>
      <c r="F115" s="101"/>
      <c r="G115" s="101"/>
      <c r="H115" s="102">
        <v>50</v>
      </c>
      <c r="I115" s="101"/>
      <c r="J115" s="101"/>
      <c r="K115" s="103">
        <v>0</v>
      </c>
      <c r="L115" s="101"/>
      <c r="M115" s="104"/>
      <c r="N115" s="105">
        <f t="shared" si="17"/>
        <v>50</v>
      </c>
      <c r="O115" s="106"/>
      <c r="P115" s="107">
        <f t="shared" si="18"/>
        <v>0</v>
      </c>
      <c r="Q115" s="108">
        <f t="shared" si="19"/>
        <v>0</v>
      </c>
      <c r="R115" s="108">
        <f t="shared" si="20"/>
        <v>0</v>
      </c>
      <c r="S115" s="109"/>
      <c r="T115" s="110">
        <f t="shared" si="21"/>
        <v>0</v>
      </c>
      <c r="U115" s="109"/>
      <c r="V115" s="111">
        <f t="shared" si="22"/>
        <v>0</v>
      </c>
      <c r="Y115" s="171">
        <f t="shared" si="23"/>
        <v>0</v>
      </c>
      <c r="Z115" s="171">
        <f t="shared" si="24"/>
        <v>0</v>
      </c>
    </row>
    <row r="116" spans="1:26">
      <c r="A116" s="173" t="s">
        <v>7</v>
      </c>
      <c r="B116" s="174" t="s">
        <v>184</v>
      </c>
      <c r="C116" s="317">
        <v>4</v>
      </c>
      <c r="D116" s="175" t="s">
        <v>382</v>
      </c>
      <c r="E116" s="100"/>
      <c r="F116" s="101"/>
      <c r="G116" s="101"/>
      <c r="H116" s="102">
        <v>32</v>
      </c>
      <c r="I116" s="101"/>
      <c r="J116" s="101"/>
      <c r="K116" s="103">
        <v>6</v>
      </c>
      <c r="L116" s="101"/>
      <c r="M116" s="104"/>
      <c r="N116" s="105">
        <f t="shared" si="17"/>
        <v>26</v>
      </c>
      <c r="O116" s="106"/>
      <c r="P116" s="107">
        <f t="shared" si="18"/>
        <v>0</v>
      </c>
      <c r="Q116" s="108">
        <f t="shared" si="19"/>
        <v>0</v>
      </c>
      <c r="R116" s="108">
        <f t="shared" si="20"/>
        <v>0</v>
      </c>
      <c r="S116" s="109"/>
      <c r="T116" s="110">
        <f t="shared" si="21"/>
        <v>0</v>
      </c>
      <c r="U116" s="109"/>
      <c r="V116" s="111">
        <f t="shared" si="22"/>
        <v>0</v>
      </c>
      <c r="Y116" s="171">
        <f t="shared" si="23"/>
        <v>0</v>
      </c>
      <c r="Z116" s="171">
        <f t="shared" si="24"/>
        <v>0</v>
      </c>
    </row>
    <row r="117" spans="1:26">
      <c r="A117" s="173" t="s">
        <v>7</v>
      </c>
      <c r="B117" s="174" t="s">
        <v>163</v>
      </c>
      <c r="C117" s="317">
        <v>5</v>
      </c>
      <c r="D117" s="175" t="s">
        <v>385</v>
      </c>
      <c r="E117" s="100"/>
      <c r="F117" s="101"/>
      <c r="G117" s="101"/>
      <c r="H117" s="102">
        <v>53</v>
      </c>
      <c r="I117" s="101"/>
      <c r="J117" s="101"/>
      <c r="K117" s="103">
        <v>0</v>
      </c>
      <c r="L117" s="101"/>
      <c r="M117" s="104"/>
      <c r="N117" s="105">
        <f t="shared" si="17"/>
        <v>53</v>
      </c>
      <c r="O117" s="106"/>
      <c r="P117" s="107">
        <f t="shared" si="18"/>
        <v>0</v>
      </c>
      <c r="Q117" s="108">
        <f t="shared" si="19"/>
        <v>0</v>
      </c>
      <c r="R117" s="108">
        <f t="shared" si="20"/>
        <v>0</v>
      </c>
      <c r="S117" s="109"/>
      <c r="T117" s="110">
        <f t="shared" si="21"/>
        <v>0</v>
      </c>
      <c r="U117" s="109"/>
      <c r="V117" s="111">
        <f t="shared" si="22"/>
        <v>0</v>
      </c>
      <c r="Y117" s="171">
        <f t="shared" si="23"/>
        <v>0</v>
      </c>
      <c r="Z117" s="171">
        <f t="shared" si="24"/>
        <v>0</v>
      </c>
    </row>
    <row r="118" spans="1:26">
      <c r="A118" s="173" t="s">
        <v>7</v>
      </c>
      <c r="B118" s="174" t="s">
        <v>164</v>
      </c>
      <c r="C118" s="317">
        <v>5</v>
      </c>
      <c r="D118" s="175" t="s">
        <v>385</v>
      </c>
      <c r="E118" s="100"/>
      <c r="F118" s="101"/>
      <c r="G118" s="101"/>
      <c r="H118" s="102">
        <v>42</v>
      </c>
      <c r="I118" s="101"/>
      <c r="J118" s="101"/>
      <c r="K118" s="103">
        <v>8</v>
      </c>
      <c r="L118" s="101"/>
      <c r="M118" s="104"/>
      <c r="N118" s="105">
        <f t="shared" si="17"/>
        <v>34</v>
      </c>
      <c r="O118" s="106"/>
      <c r="P118" s="107">
        <f t="shared" si="18"/>
        <v>0</v>
      </c>
      <c r="Q118" s="108">
        <f t="shared" si="19"/>
        <v>0</v>
      </c>
      <c r="R118" s="108">
        <f t="shared" si="20"/>
        <v>0</v>
      </c>
      <c r="S118" s="109"/>
      <c r="T118" s="110">
        <f t="shared" si="21"/>
        <v>0</v>
      </c>
      <c r="U118" s="109"/>
      <c r="V118" s="111">
        <f t="shared" si="22"/>
        <v>0</v>
      </c>
      <c r="Y118" s="171">
        <f t="shared" si="23"/>
        <v>0</v>
      </c>
      <c r="Z118" s="171">
        <f t="shared" si="24"/>
        <v>0</v>
      </c>
    </row>
    <row r="119" spans="1:26">
      <c r="A119" s="173" t="s">
        <v>7</v>
      </c>
      <c r="B119" s="174" t="s">
        <v>178</v>
      </c>
      <c r="C119" s="317">
        <v>5</v>
      </c>
      <c r="D119" s="175" t="s">
        <v>385</v>
      </c>
      <c r="E119" s="100"/>
      <c r="F119" s="101"/>
      <c r="G119" s="101"/>
      <c r="H119" s="102">
        <v>63</v>
      </c>
      <c r="I119" s="101"/>
      <c r="J119" s="101"/>
      <c r="K119" s="103">
        <v>0</v>
      </c>
      <c r="L119" s="101"/>
      <c r="M119" s="104"/>
      <c r="N119" s="105">
        <f t="shared" si="17"/>
        <v>63</v>
      </c>
      <c r="O119" s="106"/>
      <c r="P119" s="107">
        <f t="shared" si="18"/>
        <v>0</v>
      </c>
      <c r="Q119" s="108">
        <f t="shared" si="19"/>
        <v>0</v>
      </c>
      <c r="R119" s="108">
        <f t="shared" si="20"/>
        <v>0</v>
      </c>
      <c r="S119" s="109"/>
      <c r="T119" s="110">
        <f t="shared" si="21"/>
        <v>0</v>
      </c>
      <c r="U119" s="109"/>
      <c r="V119" s="111">
        <f t="shared" si="22"/>
        <v>0</v>
      </c>
      <c r="Y119" s="171">
        <f t="shared" si="23"/>
        <v>0</v>
      </c>
      <c r="Z119" s="171">
        <f t="shared" si="24"/>
        <v>0</v>
      </c>
    </row>
    <row r="120" spans="1:26">
      <c r="A120" s="173" t="s">
        <v>7</v>
      </c>
      <c r="B120" s="174" t="s">
        <v>179</v>
      </c>
      <c r="C120" s="317">
        <v>5</v>
      </c>
      <c r="D120" s="175" t="s">
        <v>385</v>
      </c>
      <c r="E120" s="100"/>
      <c r="F120" s="101"/>
      <c r="G120" s="101"/>
      <c r="H120" s="102">
        <v>95</v>
      </c>
      <c r="I120" s="101"/>
      <c r="J120" s="101"/>
      <c r="K120" s="103">
        <v>19</v>
      </c>
      <c r="L120" s="101"/>
      <c r="M120" s="104"/>
      <c r="N120" s="105">
        <f t="shared" si="17"/>
        <v>76</v>
      </c>
      <c r="O120" s="106"/>
      <c r="P120" s="107">
        <f t="shared" si="18"/>
        <v>0</v>
      </c>
      <c r="Q120" s="108">
        <f t="shared" si="19"/>
        <v>0</v>
      </c>
      <c r="R120" s="108">
        <f t="shared" si="20"/>
        <v>0</v>
      </c>
      <c r="S120" s="109"/>
      <c r="T120" s="110">
        <f t="shared" si="21"/>
        <v>0</v>
      </c>
      <c r="U120" s="109"/>
      <c r="V120" s="111">
        <f t="shared" si="22"/>
        <v>0</v>
      </c>
      <c r="Y120" s="171">
        <f t="shared" si="23"/>
        <v>0</v>
      </c>
      <c r="Z120" s="171">
        <f t="shared" si="24"/>
        <v>0</v>
      </c>
    </row>
    <row r="121" spans="1:26">
      <c r="A121" s="173" t="s">
        <v>7</v>
      </c>
      <c r="B121" s="176" t="s">
        <v>169</v>
      </c>
      <c r="C121" s="318">
        <v>5</v>
      </c>
      <c r="D121" s="175" t="s">
        <v>385</v>
      </c>
      <c r="E121" s="100"/>
      <c r="F121" s="101"/>
      <c r="G121" s="101"/>
      <c r="H121" s="102">
        <v>61</v>
      </c>
      <c r="I121" s="101"/>
      <c r="J121" s="101"/>
      <c r="K121" s="103">
        <v>0</v>
      </c>
      <c r="L121" s="101"/>
      <c r="M121" s="104"/>
      <c r="N121" s="105">
        <f t="shared" si="17"/>
        <v>61</v>
      </c>
      <c r="O121" s="106"/>
      <c r="P121" s="107">
        <f t="shared" si="18"/>
        <v>0</v>
      </c>
      <c r="Q121" s="108">
        <f t="shared" si="19"/>
        <v>0</v>
      </c>
      <c r="R121" s="108">
        <f t="shared" si="20"/>
        <v>0</v>
      </c>
      <c r="S121" s="109"/>
      <c r="T121" s="110">
        <f t="shared" si="21"/>
        <v>0</v>
      </c>
      <c r="U121" s="109"/>
      <c r="V121" s="111">
        <f t="shared" si="22"/>
        <v>0</v>
      </c>
      <c r="Y121" s="171">
        <f t="shared" si="23"/>
        <v>0</v>
      </c>
      <c r="Z121" s="171">
        <f t="shared" si="24"/>
        <v>0</v>
      </c>
    </row>
    <row r="122" spans="1:26">
      <c r="A122" s="173" t="s">
        <v>7</v>
      </c>
      <c r="B122" s="176" t="s">
        <v>170</v>
      </c>
      <c r="C122" s="318">
        <v>5</v>
      </c>
      <c r="D122" s="175" t="s">
        <v>385</v>
      </c>
      <c r="E122" s="100"/>
      <c r="F122" s="101"/>
      <c r="G122" s="101"/>
      <c r="H122" s="102">
        <v>38</v>
      </c>
      <c r="I122" s="101"/>
      <c r="J122" s="101"/>
      <c r="K122" s="103">
        <v>0</v>
      </c>
      <c r="L122" s="101"/>
      <c r="M122" s="104"/>
      <c r="N122" s="105">
        <f t="shared" si="17"/>
        <v>38</v>
      </c>
      <c r="O122" s="106"/>
      <c r="P122" s="107">
        <f t="shared" si="18"/>
        <v>0</v>
      </c>
      <c r="Q122" s="108">
        <f t="shared" si="19"/>
        <v>0</v>
      </c>
      <c r="R122" s="108">
        <f t="shared" si="20"/>
        <v>0</v>
      </c>
      <c r="S122" s="109"/>
      <c r="T122" s="110">
        <f t="shared" si="21"/>
        <v>0</v>
      </c>
      <c r="U122" s="109"/>
      <c r="V122" s="111">
        <f t="shared" si="22"/>
        <v>0</v>
      </c>
      <c r="Y122" s="171">
        <f t="shared" si="23"/>
        <v>0</v>
      </c>
      <c r="Z122" s="171">
        <f t="shared" si="24"/>
        <v>0</v>
      </c>
    </row>
    <row r="123" spans="1:26">
      <c r="A123" s="173" t="s">
        <v>7</v>
      </c>
      <c r="B123" s="174" t="s">
        <v>171</v>
      </c>
      <c r="C123" s="317">
        <v>5</v>
      </c>
      <c r="D123" s="175" t="s">
        <v>383</v>
      </c>
      <c r="E123" s="100"/>
      <c r="F123" s="101"/>
      <c r="G123" s="101"/>
      <c r="H123" s="102">
        <v>53</v>
      </c>
      <c r="I123" s="101"/>
      <c r="J123" s="101"/>
      <c r="K123" s="103">
        <v>0</v>
      </c>
      <c r="L123" s="101"/>
      <c r="M123" s="104"/>
      <c r="N123" s="105">
        <f t="shared" si="17"/>
        <v>53</v>
      </c>
      <c r="O123" s="106"/>
      <c r="P123" s="107">
        <f t="shared" si="18"/>
        <v>0</v>
      </c>
      <c r="Q123" s="108">
        <f t="shared" si="19"/>
        <v>0</v>
      </c>
      <c r="R123" s="108">
        <f t="shared" si="20"/>
        <v>0</v>
      </c>
      <c r="S123" s="109"/>
      <c r="T123" s="110">
        <f t="shared" si="21"/>
        <v>0</v>
      </c>
      <c r="U123" s="109"/>
      <c r="V123" s="111">
        <f t="shared" si="22"/>
        <v>0</v>
      </c>
      <c r="Y123" s="171">
        <f t="shared" si="23"/>
        <v>0</v>
      </c>
      <c r="Z123" s="171">
        <f t="shared" si="24"/>
        <v>0</v>
      </c>
    </row>
    <row r="124" spans="1:26">
      <c r="A124" s="173" t="s">
        <v>7</v>
      </c>
      <c r="B124" s="174" t="s">
        <v>172</v>
      </c>
      <c r="C124" s="317">
        <v>5</v>
      </c>
      <c r="D124" s="175" t="s">
        <v>383</v>
      </c>
      <c r="E124" s="100"/>
      <c r="F124" s="101"/>
      <c r="G124" s="101"/>
      <c r="H124" s="102">
        <v>17</v>
      </c>
      <c r="I124" s="101"/>
      <c r="J124" s="101"/>
      <c r="K124" s="103">
        <v>3</v>
      </c>
      <c r="L124" s="101"/>
      <c r="M124" s="104"/>
      <c r="N124" s="105">
        <f t="shared" si="17"/>
        <v>14</v>
      </c>
      <c r="O124" s="106"/>
      <c r="P124" s="107">
        <f t="shared" si="18"/>
        <v>0</v>
      </c>
      <c r="Q124" s="108">
        <f t="shared" si="19"/>
        <v>0</v>
      </c>
      <c r="R124" s="108">
        <f t="shared" si="20"/>
        <v>0</v>
      </c>
      <c r="S124" s="109"/>
      <c r="T124" s="110">
        <f t="shared" si="21"/>
        <v>0</v>
      </c>
      <c r="U124" s="109"/>
      <c r="V124" s="111">
        <f t="shared" si="22"/>
        <v>0</v>
      </c>
      <c r="Y124" s="171">
        <f t="shared" si="23"/>
        <v>0</v>
      </c>
      <c r="Z124" s="171">
        <f t="shared" si="24"/>
        <v>0</v>
      </c>
    </row>
    <row r="125" spans="1:26">
      <c r="A125" s="173" t="s">
        <v>7</v>
      </c>
      <c r="B125" s="174" t="s">
        <v>180</v>
      </c>
      <c r="C125" s="317">
        <v>5</v>
      </c>
      <c r="D125" s="175" t="s">
        <v>383</v>
      </c>
      <c r="E125" s="100"/>
      <c r="F125" s="101"/>
      <c r="G125" s="101"/>
      <c r="H125" s="102">
        <v>48</v>
      </c>
      <c r="I125" s="101"/>
      <c r="J125" s="101"/>
      <c r="K125" s="103">
        <v>0</v>
      </c>
      <c r="L125" s="101"/>
      <c r="M125" s="104"/>
      <c r="N125" s="105">
        <f t="shared" si="17"/>
        <v>48</v>
      </c>
      <c r="O125" s="106"/>
      <c r="P125" s="107">
        <f t="shared" si="18"/>
        <v>0</v>
      </c>
      <c r="Q125" s="108">
        <f t="shared" si="19"/>
        <v>0</v>
      </c>
      <c r="R125" s="108">
        <f t="shared" si="20"/>
        <v>0</v>
      </c>
      <c r="S125" s="109"/>
      <c r="T125" s="110">
        <f t="shared" si="21"/>
        <v>0</v>
      </c>
      <c r="U125" s="109"/>
      <c r="V125" s="111">
        <f t="shared" si="22"/>
        <v>0</v>
      </c>
      <c r="Y125" s="171">
        <f t="shared" si="23"/>
        <v>0</v>
      </c>
      <c r="Z125" s="171">
        <f t="shared" si="24"/>
        <v>0</v>
      </c>
    </row>
    <row r="126" spans="1:26">
      <c r="A126" s="173" t="s">
        <v>7</v>
      </c>
      <c r="B126" s="174" t="s">
        <v>181</v>
      </c>
      <c r="C126" s="317">
        <v>5</v>
      </c>
      <c r="D126" s="175" t="s">
        <v>383</v>
      </c>
      <c r="E126" s="100"/>
      <c r="F126" s="101"/>
      <c r="G126" s="101"/>
      <c r="H126" s="102">
        <v>23</v>
      </c>
      <c r="I126" s="101"/>
      <c r="J126" s="101"/>
      <c r="K126" s="103">
        <v>5</v>
      </c>
      <c r="L126" s="101"/>
      <c r="M126" s="104"/>
      <c r="N126" s="105">
        <f t="shared" si="17"/>
        <v>18</v>
      </c>
      <c r="O126" s="106"/>
      <c r="P126" s="107">
        <f t="shared" si="18"/>
        <v>0</v>
      </c>
      <c r="Q126" s="108">
        <f t="shared" si="19"/>
        <v>0</v>
      </c>
      <c r="R126" s="108">
        <f t="shared" si="20"/>
        <v>0</v>
      </c>
      <c r="S126" s="109"/>
      <c r="T126" s="110">
        <f t="shared" si="21"/>
        <v>0</v>
      </c>
      <c r="U126" s="109"/>
      <c r="V126" s="111">
        <f t="shared" si="22"/>
        <v>0</v>
      </c>
      <c r="Y126" s="171">
        <f t="shared" si="23"/>
        <v>0</v>
      </c>
      <c r="Z126" s="171">
        <f t="shared" si="24"/>
        <v>0</v>
      </c>
    </row>
    <row r="127" spans="1:26">
      <c r="A127" s="173" t="s">
        <v>7</v>
      </c>
      <c r="B127" s="176" t="s">
        <v>182</v>
      </c>
      <c r="C127" s="318">
        <v>5</v>
      </c>
      <c r="D127" s="175" t="s">
        <v>383</v>
      </c>
      <c r="E127" s="100"/>
      <c r="F127" s="101"/>
      <c r="G127" s="101"/>
      <c r="H127" s="102">
        <v>58</v>
      </c>
      <c r="I127" s="101"/>
      <c r="J127" s="101"/>
      <c r="K127" s="103">
        <v>0</v>
      </c>
      <c r="L127" s="101"/>
      <c r="M127" s="104"/>
      <c r="N127" s="105">
        <f t="shared" si="17"/>
        <v>58</v>
      </c>
      <c r="O127" s="106"/>
      <c r="P127" s="107">
        <f t="shared" si="18"/>
        <v>0</v>
      </c>
      <c r="Q127" s="108">
        <f t="shared" si="19"/>
        <v>0</v>
      </c>
      <c r="R127" s="108">
        <f t="shared" si="20"/>
        <v>0</v>
      </c>
      <c r="S127" s="109"/>
      <c r="T127" s="110">
        <f t="shared" si="21"/>
        <v>0</v>
      </c>
      <c r="U127" s="109"/>
      <c r="V127" s="111">
        <f t="shared" si="22"/>
        <v>0</v>
      </c>
      <c r="Y127" s="171">
        <f t="shared" si="23"/>
        <v>0</v>
      </c>
      <c r="Z127" s="171">
        <f t="shared" si="24"/>
        <v>0</v>
      </c>
    </row>
    <row r="128" spans="1:26">
      <c r="A128" s="173" t="s">
        <v>7</v>
      </c>
      <c r="B128" s="174" t="s">
        <v>183</v>
      </c>
      <c r="C128" s="317">
        <v>5</v>
      </c>
      <c r="D128" s="175" t="s">
        <v>383</v>
      </c>
      <c r="E128" s="100"/>
      <c r="F128" s="101"/>
      <c r="G128" s="101"/>
      <c r="H128" s="102">
        <v>50</v>
      </c>
      <c r="I128" s="101"/>
      <c r="J128" s="101"/>
      <c r="K128" s="103">
        <v>0</v>
      </c>
      <c r="L128" s="101"/>
      <c r="M128" s="104"/>
      <c r="N128" s="105">
        <f t="shared" si="17"/>
        <v>50</v>
      </c>
      <c r="O128" s="106"/>
      <c r="P128" s="107">
        <f t="shared" si="18"/>
        <v>0</v>
      </c>
      <c r="Q128" s="108">
        <f t="shared" si="19"/>
        <v>0</v>
      </c>
      <c r="R128" s="108">
        <f t="shared" si="20"/>
        <v>0</v>
      </c>
      <c r="S128" s="109"/>
      <c r="T128" s="110">
        <f t="shared" si="21"/>
        <v>0</v>
      </c>
      <c r="U128" s="109"/>
      <c r="V128" s="111">
        <f t="shared" si="22"/>
        <v>0</v>
      </c>
      <c r="Y128" s="171">
        <f t="shared" si="23"/>
        <v>0</v>
      </c>
      <c r="Z128" s="171">
        <f t="shared" si="24"/>
        <v>0</v>
      </c>
    </row>
    <row r="129" spans="1:26">
      <c r="A129" s="173" t="s">
        <v>7</v>
      </c>
      <c r="B129" s="174" t="s">
        <v>184</v>
      </c>
      <c r="C129" s="317">
        <v>5</v>
      </c>
      <c r="D129" s="175" t="s">
        <v>383</v>
      </c>
      <c r="E129" s="100"/>
      <c r="F129" s="101"/>
      <c r="G129" s="101"/>
      <c r="H129" s="102">
        <v>25</v>
      </c>
      <c r="I129" s="101"/>
      <c r="J129" s="101"/>
      <c r="K129" s="103">
        <v>5</v>
      </c>
      <c r="L129" s="101"/>
      <c r="M129" s="104"/>
      <c r="N129" s="105">
        <f t="shared" si="17"/>
        <v>20</v>
      </c>
      <c r="O129" s="106"/>
      <c r="P129" s="107">
        <f t="shared" si="18"/>
        <v>0</v>
      </c>
      <c r="Q129" s="108">
        <f t="shared" si="19"/>
        <v>0</v>
      </c>
      <c r="R129" s="108">
        <f t="shared" si="20"/>
        <v>0</v>
      </c>
      <c r="S129" s="109"/>
      <c r="T129" s="110">
        <f t="shared" si="21"/>
        <v>0</v>
      </c>
      <c r="U129" s="109"/>
      <c r="V129" s="111">
        <f t="shared" si="22"/>
        <v>0</v>
      </c>
      <c r="Y129" s="171">
        <f t="shared" si="23"/>
        <v>0</v>
      </c>
      <c r="Z129" s="171">
        <f t="shared" si="24"/>
        <v>0</v>
      </c>
    </row>
    <row r="130" spans="1:26">
      <c r="A130" s="173" t="s">
        <v>7</v>
      </c>
      <c r="B130" s="174" t="s">
        <v>163</v>
      </c>
      <c r="C130" s="317">
        <v>6</v>
      </c>
      <c r="D130" s="175" t="s">
        <v>381</v>
      </c>
      <c r="E130" s="100"/>
      <c r="F130" s="101"/>
      <c r="G130" s="101"/>
      <c r="H130" s="102">
        <v>55</v>
      </c>
      <c r="I130" s="101"/>
      <c r="J130" s="101"/>
      <c r="K130" s="103">
        <v>0</v>
      </c>
      <c r="L130" s="101"/>
      <c r="M130" s="104"/>
      <c r="N130" s="105">
        <f t="shared" si="17"/>
        <v>55</v>
      </c>
      <c r="O130" s="106"/>
      <c r="P130" s="107">
        <f t="shared" si="18"/>
        <v>0</v>
      </c>
      <c r="Q130" s="108">
        <f t="shared" si="19"/>
        <v>0</v>
      </c>
      <c r="R130" s="108">
        <f t="shared" si="20"/>
        <v>0</v>
      </c>
      <c r="S130" s="109"/>
      <c r="T130" s="110">
        <f t="shared" si="21"/>
        <v>0</v>
      </c>
      <c r="U130" s="109"/>
      <c r="V130" s="111">
        <f t="shared" si="22"/>
        <v>0</v>
      </c>
      <c r="Y130" s="171">
        <f t="shared" si="23"/>
        <v>0</v>
      </c>
      <c r="Z130" s="171">
        <f t="shared" si="24"/>
        <v>0</v>
      </c>
    </row>
    <row r="131" spans="1:26">
      <c r="A131" s="173" t="s">
        <v>7</v>
      </c>
      <c r="B131" s="174" t="s">
        <v>164</v>
      </c>
      <c r="C131" s="317">
        <v>6</v>
      </c>
      <c r="D131" s="175" t="s">
        <v>381</v>
      </c>
      <c r="E131" s="100"/>
      <c r="F131" s="101"/>
      <c r="G131" s="101"/>
      <c r="H131" s="102">
        <v>38</v>
      </c>
      <c r="I131" s="101"/>
      <c r="J131" s="101"/>
      <c r="K131" s="103">
        <v>8</v>
      </c>
      <c r="L131" s="101"/>
      <c r="M131" s="104"/>
      <c r="N131" s="105">
        <f t="shared" si="17"/>
        <v>30</v>
      </c>
      <c r="O131" s="106"/>
      <c r="P131" s="107">
        <f t="shared" si="18"/>
        <v>0</v>
      </c>
      <c r="Q131" s="108">
        <f t="shared" si="19"/>
        <v>0</v>
      </c>
      <c r="R131" s="108">
        <f t="shared" si="20"/>
        <v>0</v>
      </c>
      <c r="S131" s="109"/>
      <c r="T131" s="110">
        <f t="shared" si="21"/>
        <v>0</v>
      </c>
      <c r="U131" s="109"/>
      <c r="V131" s="111">
        <f t="shared" si="22"/>
        <v>0</v>
      </c>
      <c r="Y131" s="171">
        <f t="shared" si="23"/>
        <v>0</v>
      </c>
      <c r="Z131" s="171">
        <f t="shared" si="24"/>
        <v>0</v>
      </c>
    </row>
    <row r="132" spans="1:26">
      <c r="A132" s="173" t="s">
        <v>7</v>
      </c>
      <c r="B132" s="174" t="s">
        <v>178</v>
      </c>
      <c r="C132" s="317">
        <v>6</v>
      </c>
      <c r="D132" s="175" t="s">
        <v>381</v>
      </c>
      <c r="E132" s="100"/>
      <c r="F132" s="101"/>
      <c r="G132" s="101"/>
      <c r="H132" s="102">
        <v>57</v>
      </c>
      <c r="I132" s="101"/>
      <c r="J132" s="101"/>
      <c r="K132" s="103">
        <v>0</v>
      </c>
      <c r="L132" s="101"/>
      <c r="M132" s="104"/>
      <c r="N132" s="105">
        <f t="shared" si="17"/>
        <v>57</v>
      </c>
      <c r="O132" s="106"/>
      <c r="P132" s="107">
        <f t="shared" si="18"/>
        <v>0</v>
      </c>
      <c r="Q132" s="108">
        <f t="shared" si="19"/>
        <v>0</v>
      </c>
      <c r="R132" s="108">
        <f t="shared" si="20"/>
        <v>0</v>
      </c>
      <c r="S132" s="109"/>
      <c r="T132" s="110">
        <f t="shared" si="21"/>
        <v>0</v>
      </c>
      <c r="U132" s="109"/>
      <c r="V132" s="111">
        <f t="shared" si="22"/>
        <v>0</v>
      </c>
      <c r="Y132" s="171">
        <f t="shared" si="23"/>
        <v>0</v>
      </c>
      <c r="Z132" s="171">
        <f t="shared" si="24"/>
        <v>0</v>
      </c>
    </row>
    <row r="133" spans="1:26">
      <c r="A133" s="173" t="s">
        <v>7</v>
      </c>
      <c r="B133" s="174" t="s">
        <v>179</v>
      </c>
      <c r="C133" s="317">
        <v>6</v>
      </c>
      <c r="D133" s="175" t="s">
        <v>381</v>
      </c>
      <c r="E133" s="100"/>
      <c r="F133" s="101"/>
      <c r="G133" s="101"/>
      <c r="H133" s="102">
        <v>67</v>
      </c>
      <c r="I133" s="101"/>
      <c r="J133" s="101"/>
      <c r="K133" s="103">
        <v>13</v>
      </c>
      <c r="L133" s="101"/>
      <c r="M133" s="104"/>
      <c r="N133" s="105">
        <f t="shared" si="17"/>
        <v>54</v>
      </c>
      <c r="O133" s="106"/>
      <c r="P133" s="107">
        <f t="shared" si="18"/>
        <v>0</v>
      </c>
      <c r="Q133" s="108">
        <f t="shared" si="19"/>
        <v>0</v>
      </c>
      <c r="R133" s="108">
        <f t="shared" si="20"/>
        <v>0</v>
      </c>
      <c r="S133" s="109"/>
      <c r="T133" s="110">
        <f t="shared" si="21"/>
        <v>0</v>
      </c>
      <c r="U133" s="109"/>
      <c r="V133" s="111">
        <f t="shared" si="22"/>
        <v>0</v>
      </c>
      <c r="Y133" s="171">
        <f t="shared" si="23"/>
        <v>0</v>
      </c>
      <c r="Z133" s="171">
        <f t="shared" si="24"/>
        <v>0</v>
      </c>
    </row>
    <row r="134" spans="1:26">
      <c r="A134" s="173" t="s">
        <v>7</v>
      </c>
      <c r="B134" s="176" t="s">
        <v>169</v>
      </c>
      <c r="C134" s="318">
        <v>6</v>
      </c>
      <c r="D134" s="175" t="s">
        <v>381</v>
      </c>
      <c r="E134" s="100"/>
      <c r="F134" s="101"/>
      <c r="G134" s="101"/>
      <c r="H134" s="102">
        <v>52</v>
      </c>
      <c r="I134" s="101"/>
      <c r="J134" s="101"/>
      <c r="K134" s="103">
        <v>0</v>
      </c>
      <c r="L134" s="101"/>
      <c r="M134" s="104"/>
      <c r="N134" s="105">
        <f t="shared" si="17"/>
        <v>52</v>
      </c>
      <c r="O134" s="106"/>
      <c r="P134" s="107">
        <f t="shared" si="18"/>
        <v>0</v>
      </c>
      <c r="Q134" s="108">
        <f t="shared" si="19"/>
        <v>0</v>
      </c>
      <c r="R134" s="108">
        <f t="shared" si="20"/>
        <v>0</v>
      </c>
      <c r="S134" s="109"/>
      <c r="T134" s="110">
        <f t="shared" si="21"/>
        <v>0</v>
      </c>
      <c r="U134" s="109"/>
      <c r="V134" s="111">
        <f t="shared" si="22"/>
        <v>0</v>
      </c>
      <c r="Y134" s="171">
        <f t="shared" si="23"/>
        <v>0</v>
      </c>
      <c r="Z134" s="171">
        <f t="shared" si="24"/>
        <v>0</v>
      </c>
    </row>
    <row r="135" spans="1:26">
      <c r="A135" s="173" t="s">
        <v>7</v>
      </c>
      <c r="B135" s="176" t="s">
        <v>170</v>
      </c>
      <c r="C135" s="318">
        <v>6</v>
      </c>
      <c r="D135" s="175" t="s">
        <v>381</v>
      </c>
      <c r="E135" s="100"/>
      <c r="F135" s="101"/>
      <c r="G135" s="101"/>
      <c r="H135" s="102">
        <v>31</v>
      </c>
      <c r="I135" s="101"/>
      <c r="J135" s="101"/>
      <c r="K135" s="103">
        <v>0</v>
      </c>
      <c r="L135" s="101"/>
      <c r="M135" s="104"/>
      <c r="N135" s="105">
        <f t="shared" si="17"/>
        <v>31</v>
      </c>
      <c r="O135" s="106"/>
      <c r="P135" s="107">
        <f t="shared" si="18"/>
        <v>0</v>
      </c>
      <c r="Q135" s="108">
        <f t="shared" si="19"/>
        <v>0</v>
      </c>
      <c r="R135" s="108">
        <f t="shared" si="20"/>
        <v>0</v>
      </c>
      <c r="S135" s="109"/>
      <c r="T135" s="110">
        <f t="shared" si="21"/>
        <v>0</v>
      </c>
      <c r="U135" s="109"/>
      <c r="V135" s="111">
        <f t="shared" si="22"/>
        <v>0</v>
      </c>
      <c r="Y135" s="171">
        <f t="shared" si="23"/>
        <v>0</v>
      </c>
      <c r="Z135" s="171">
        <f t="shared" si="24"/>
        <v>0</v>
      </c>
    </row>
    <row r="136" spans="1:26">
      <c r="A136" s="173" t="s">
        <v>7</v>
      </c>
      <c r="B136" s="174" t="s">
        <v>171</v>
      </c>
      <c r="C136" s="317">
        <v>6</v>
      </c>
      <c r="D136" s="175" t="s">
        <v>384</v>
      </c>
      <c r="E136" s="100"/>
      <c r="F136" s="101"/>
      <c r="G136" s="101"/>
      <c r="H136" s="102">
        <v>39</v>
      </c>
      <c r="I136" s="101"/>
      <c r="J136" s="101"/>
      <c r="K136" s="103">
        <v>0</v>
      </c>
      <c r="L136" s="101"/>
      <c r="M136" s="104"/>
      <c r="N136" s="105">
        <f t="shared" si="17"/>
        <v>39</v>
      </c>
      <c r="O136" s="106"/>
      <c r="P136" s="107">
        <f t="shared" si="18"/>
        <v>0</v>
      </c>
      <c r="Q136" s="108">
        <f t="shared" si="19"/>
        <v>0</v>
      </c>
      <c r="R136" s="108">
        <f t="shared" si="20"/>
        <v>0</v>
      </c>
      <c r="S136" s="109"/>
      <c r="T136" s="110">
        <f t="shared" si="21"/>
        <v>0</v>
      </c>
      <c r="U136" s="109"/>
      <c r="V136" s="111">
        <f t="shared" si="22"/>
        <v>0</v>
      </c>
      <c r="Y136" s="171">
        <f t="shared" si="23"/>
        <v>0</v>
      </c>
      <c r="Z136" s="171">
        <f t="shared" si="24"/>
        <v>0</v>
      </c>
    </row>
    <row r="137" spans="1:26">
      <c r="A137" s="173" t="s">
        <v>7</v>
      </c>
      <c r="B137" s="174" t="s">
        <v>172</v>
      </c>
      <c r="C137" s="317">
        <v>6</v>
      </c>
      <c r="D137" s="175" t="s">
        <v>384</v>
      </c>
      <c r="E137" s="100"/>
      <c r="F137" s="101"/>
      <c r="G137" s="101"/>
      <c r="H137" s="102">
        <v>11</v>
      </c>
      <c r="I137" s="101"/>
      <c r="J137" s="101"/>
      <c r="K137" s="103">
        <v>2</v>
      </c>
      <c r="L137" s="101"/>
      <c r="M137" s="104"/>
      <c r="N137" s="105">
        <f t="shared" si="17"/>
        <v>9</v>
      </c>
      <c r="O137" s="106"/>
      <c r="P137" s="107">
        <f t="shared" si="18"/>
        <v>0</v>
      </c>
      <c r="Q137" s="108">
        <f t="shared" si="19"/>
        <v>0</v>
      </c>
      <c r="R137" s="108">
        <f t="shared" si="20"/>
        <v>0</v>
      </c>
      <c r="S137" s="109"/>
      <c r="T137" s="110">
        <f t="shared" si="21"/>
        <v>0</v>
      </c>
      <c r="U137" s="109"/>
      <c r="V137" s="111">
        <f t="shared" si="22"/>
        <v>0</v>
      </c>
      <c r="Y137" s="171">
        <f t="shared" si="23"/>
        <v>0</v>
      </c>
      <c r="Z137" s="171">
        <f t="shared" si="24"/>
        <v>0</v>
      </c>
    </row>
    <row r="138" spans="1:26">
      <c r="A138" s="173" t="s">
        <v>7</v>
      </c>
      <c r="B138" s="174" t="s">
        <v>180</v>
      </c>
      <c r="C138" s="317">
        <v>6</v>
      </c>
      <c r="D138" s="175" t="s">
        <v>384</v>
      </c>
      <c r="E138" s="100"/>
      <c r="F138" s="101"/>
      <c r="G138" s="101"/>
      <c r="H138" s="102">
        <v>35</v>
      </c>
      <c r="I138" s="101"/>
      <c r="J138" s="101"/>
      <c r="K138" s="103">
        <v>0</v>
      </c>
      <c r="L138" s="101"/>
      <c r="M138" s="104"/>
      <c r="N138" s="105">
        <f t="shared" si="17"/>
        <v>35</v>
      </c>
      <c r="O138" s="106"/>
      <c r="P138" s="107">
        <f t="shared" si="18"/>
        <v>0</v>
      </c>
      <c r="Q138" s="108">
        <f t="shared" si="19"/>
        <v>0</v>
      </c>
      <c r="R138" s="108">
        <f t="shared" si="20"/>
        <v>0</v>
      </c>
      <c r="S138" s="109"/>
      <c r="T138" s="110">
        <f t="shared" si="21"/>
        <v>0</v>
      </c>
      <c r="U138" s="109"/>
      <c r="V138" s="111">
        <f t="shared" si="22"/>
        <v>0</v>
      </c>
      <c r="Y138" s="171">
        <f t="shared" si="23"/>
        <v>0</v>
      </c>
      <c r="Z138" s="171">
        <f t="shared" si="24"/>
        <v>0</v>
      </c>
    </row>
    <row r="139" spans="1:26">
      <c r="A139" s="173" t="s">
        <v>7</v>
      </c>
      <c r="B139" s="174" t="s">
        <v>181</v>
      </c>
      <c r="C139" s="317">
        <v>6</v>
      </c>
      <c r="D139" s="175" t="s">
        <v>384</v>
      </c>
      <c r="E139" s="100"/>
      <c r="F139" s="101"/>
      <c r="G139" s="101"/>
      <c r="H139" s="102">
        <v>18</v>
      </c>
      <c r="I139" s="101"/>
      <c r="J139" s="101"/>
      <c r="K139" s="103">
        <v>4</v>
      </c>
      <c r="L139" s="101"/>
      <c r="M139" s="104"/>
      <c r="N139" s="105">
        <f t="shared" si="17"/>
        <v>14</v>
      </c>
      <c r="O139" s="106"/>
      <c r="P139" s="107">
        <f t="shared" si="18"/>
        <v>0</v>
      </c>
      <c r="Q139" s="108">
        <f t="shared" si="19"/>
        <v>0</v>
      </c>
      <c r="R139" s="108">
        <f t="shared" si="20"/>
        <v>0</v>
      </c>
      <c r="S139" s="109"/>
      <c r="T139" s="110">
        <f t="shared" si="21"/>
        <v>0</v>
      </c>
      <c r="U139" s="109"/>
      <c r="V139" s="111">
        <f t="shared" si="22"/>
        <v>0</v>
      </c>
      <c r="Y139" s="171">
        <f t="shared" si="23"/>
        <v>0</v>
      </c>
      <c r="Z139" s="171">
        <f t="shared" si="24"/>
        <v>0</v>
      </c>
    </row>
    <row r="140" spans="1:26">
      <c r="A140" s="173" t="s">
        <v>7</v>
      </c>
      <c r="B140" s="176" t="s">
        <v>182</v>
      </c>
      <c r="C140" s="318">
        <v>6</v>
      </c>
      <c r="D140" s="175" t="s">
        <v>384</v>
      </c>
      <c r="E140" s="100"/>
      <c r="F140" s="101"/>
      <c r="G140" s="101"/>
      <c r="H140" s="102">
        <v>77</v>
      </c>
      <c r="I140" s="101"/>
      <c r="J140" s="101"/>
      <c r="K140" s="103">
        <v>0</v>
      </c>
      <c r="L140" s="101"/>
      <c r="M140" s="104"/>
      <c r="N140" s="105">
        <f t="shared" si="17"/>
        <v>77</v>
      </c>
      <c r="O140" s="106"/>
      <c r="P140" s="107">
        <f t="shared" si="18"/>
        <v>0</v>
      </c>
      <c r="Q140" s="108">
        <f t="shared" si="19"/>
        <v>0</v>
      </c>
      <c r="R140" s="108">
        <f t="shared" si="20"/>
        <v>0</v>
      </c>
      <c r="S140" s="109"/>
      <c r="T140" s="110">
        <f t="shared" si="21"/>
        <v>0</v>
      </c>
      <c r="U140" s="109"/>
      <c r="V140" s="111">
        <f t="shared" si="22"/>
        <v>0</v>
      </c>
      <c r="Y140" s="171">
        <f t="shared" si="23"/>
        <v>0</v>
      </c>
      <c r="Z140" s="171">
        <f t="shared" si="24"/>
        <v>0</v>
      </c>
    </row>
    <row r="141" spans="1:26">
      <c r="A141" s="173" t="s">
        <v>7</v>
      </c>
      <c r="B141" s="174" t="s">
        <v>183</v>
      </c>
      <c r="C141" s="317">
        <v>6</v>
      </c>
      <c r="D141" s="175" t="s">
        <v>384</v>
      </c>
      <c r="E141" s="100"/>
      <c r="F141" s="101"/>
      <c r="G141" s="101"/>
      <c r="H141" s="102">
        <v>49</v>
      </c>
      <c r="I141" s="101"/>
      <c r="J141" s="101"/>
      <c r="K141" s="103">
        <v>0</v>
      </c>
      <c r="L141" s="101"/>
      <c r="M141" s="104"/>
      <c r="N141" s="105">
        <f t="shared" si="17"/>
        <v>49</v>
      </c>
      <c r="O141" s="106"/>
      <c r="P141" s="107">
        <f t="shared" si="18"/>
        <v>0</v>
      </c>
      <c r="Q141" s="108">
        <f t="shared" si="19"/>
        <v>0</v>
      </c>
      <c r="R141" s="108">
        <f t="shared" si="20"/>
        <v>0</v>
      </c>
      <c r="S141" s="109"/>
      <c r="T141" s="110">
        <f t="shared" si="21"/>
        <v>0</v>
      </c>
      <c r="U141" s="109"/>
      <c r="V141" s="111">
        <f t="shared" si="22"/>
        <v>0</v>
      </c>
      <c r="Y141" s="171">
        <f t="shared" si="23"/>
        <v>0</v>
      </c>
      <c r="Z141" s="171">
        <f t="shared" si="24"/>
        <v>0</v>
      </c>
    </row>
    <row r="142" spans="1:26">
      <c r="A142" s="173" t="s">
        <v>7</v>
      </c>
      <c r="B142" s="174" t="s">
        <v>184</v>
      </c>
      <c r="C142" s="317">
        <v>6</v>
      </c>
      <c r="D142" s="175" t="s">
        <v>384</v>
      </c>
      <c r="E142" s="100"/>
      <c r="F142" s="101"/>
      <c r="G142" s="101"/>
      <c r="H142" s="102">
        <v>27</v>
      </c>
      <c r="I142" s="101"/>
      <c r="J142" s="101"/>
      <c r="K142" s="103">
        <v>5</v>
      </c>
      <c r="L142" s="101"/>
      <c r="M142" s="104"/>
      <c r="N142" s="105">
        <f t="shared" si="17"/>
        <v>22</v>
      </c>
      <c r="O142" s="106"/>
      <c r="P142" s="107">
        <f t="shared" si="18"/>
        <v>0</v>
      </c>
      <c r="Q142" s="108">
        <f t="shared" si="19"/>
        <v>0</v>
      </c>
      <c r="R142" s="108">
        <f t="shared" si="20"/>
        <v>0</v>
      </c>
      <c r="S142" s="109"/>
      <c r="T142" s="110">
        <f t="shared" si="21"/>
        <v>0</v>
      </c>
      <c r="U142" s="109"/>
      <c r="V142" s="111">
        <f t="shared" si="22"/>
        <v>0</v>
      </c>
      <c r="Y142" s="171">
        <f t="shared" si="23"/>
        <v>0</v>
      </c>
      <c r="Z142" s="171">
        <f t="shared" si="24"/>
        <v>0</v>
      </c>
    </row>
    <row r="143" spans="1:26">
      <c r="A143" s="177" t="s">
        <v>8</v>
      </c>
      <c r="B143" s="178" t="s">
        <v>185</v>
      </c>
      <c r="C143" s="319">
        <v>1</v>
      </c>
      <c r="D143" s="179" t="s">
        <v>386</v>
      </c>
      <c r="E143" s="1"/>
      <c r="F143" s="2"/>
      <c r="G143" s="2"/>
      <c r="H143" s="3">
        <v>76</v>
      </c>
      <c r="I143" s="2"/>
      <c r="J143" s="2"/>
      <c r="K143" s="4">
        <v>7</v>
      </c>
      <c r="L143" s="2"/>
      <c r="M143" s="5"/>
      <c r="N143" s="11">
        <f t="shared" si="17"/>
        <v>69</v>
      </c>
      <c r="O143" s="45"/>
      <c r="P143" s="13">
        <f t="shared" si="18"/>
        <v>0</v>
      </c>
      <c r="Q143" s="14">
        <f t="shared" si="19"/>
        <v>0</v>
      </c>
      <c r="R143" s="14">
        <f t="shared" si="20"/>
        <v>0</v>
      </c>
      <c r="S143" s="42"/>
      <c r="T143" s="22">
        <f t="shared" si="21"/>
        <v>0</v>
      </c>
      <c r="U143" s="42"/>
      <c r="V143" s="27">
        <f t="shared" si="22"/>
        <v>0</v>
      </c>
      <c r="Y143" s="171">
        <f t="shared" si="23"/>
        <v>0</v>
      </c>
      <c r="Z143" s="171">
        <f t="shared" si="24"/>
        <v>0</v>
      </c>
    </row>
    <row r="144" spans="1:26">
      <c r="A144" s="177" t="s">
        <v>8</v>
      </c>
      <c r="B144" s="178" t="s">
        <v>186</v>
      </c>
      <c r="C144" s="319">
        <v>1</v>
      </c>
      <c r="D144" s="179" t="s">
        <v>386</v>
      </c>
      <c r="E144" s="1"/>
      <c r="F144" s="2"/>
      <c r="G144" s="2"/>
      <c r="H144" s="3">
        <v>43</v>
      </c>
      <c r="I144" s="2"/>
      <c r="J144" s="2"/>
      <c r="K144" s="4">
        <v>4</v>
      </c>
      <c r="L144" s="2"/>
      <c r="M144" s="5"/>
      <c r="N144" s="11">
        <f t="shared" si="17"/>
        <v>39</v>
      </c>
      <c r="O144" s="45"/>
      <c r="P144" s="13">
        <f t="shared" si="18"/>
        <v>0</v>
      </c>
      <c r="Q144" s="14">
        <f t="shared" si="19"/>
        <v>0</v>
      </c>
      <c r="R144" s="14">
        <f t="shared" si="20"/>
        <v>0</v>
      </c>
      <c r="S144" s="42"/>
      <c r="T144" s="22">
        <f t="shared" si="21"/>
        <v>0</v>
      </c>
      <c r="U144" s="42"/>
      <c r="V144" s="27">
        <f t="shared" si="22"/>
        <v>0</v>
      </c>
      <c r="Y144" s="171">
        <f t="shared" si="23"/>
        <v>0</v>
      </c>
      <c r="Z144" s="171">
        <f t="shared" si="24"/>
        <v>0</v>
      </c>
    </row>
    <row r="145" spans="1:26">
      <c r="A145" s="177" t="s">
        <v>8</v>
      </c>
      <c r="B145" s="178" t="s">
        <v>187</v>
      </c>
      <c r="C145" s="319">
        <v>1</v>
      </c>
      <c r="D145" s="179" t="s">
        <v>380</v>
      </c>
      <c r="E145" s="1"/>
      <c r="F145" s="2"/>
      <c r="G145" s="2"/>
      <c r="H145" s="3">
        <v>70</v>
      </c>
      <c r="I145" s="2"/>
      <c r="J145" s="2"/>
      <c r="K145" s="4">
        <v>6</v>
      </c>
      <c r="L145" s="2"/>
      <c r="M145" s="5"/>
      <c r="N145" s="11">
        <f t="shared" si="17"/>
        <v>64</v>
      </c>
      <c r="O145" s="45"/>
      <c r="P145" s="13">
        <f t="shared" si="18"/>
        <v>0</v>
      </c>
      <c r="Q145" s="14">
        <f t="shared" si="19"/>
        <v>0</v>
      </c>
      <c r="R145" s="14">
        <f t="shared" si="20"/>
        <v>0</v>
      </c>
      <c r="S145" s="42"/>
      <c r="T145" s="22">
        <f t="shared" si="21"/>
        <v>0</v>
      </c>
      <c r="U145" s="42"/>
      <c r="V145" s="27">
        <f t="shared" si="22"/>
        <v>0</v>
      </c>
      <c r="Y145" s="171">
        <f t="shared" si="23"/>
        <v>0</v>
      </c>
      <c r="Z145" s="171">
        <f t="shared" si="24"/>
        <v>0</v>
      </c>
    </row>
    <row r="146" spans="1:26">
      <c r="A146" s="177" t="s">
        <v>8</v>
      </c>
      <c r="B146" s="178" t="s">
        <v>188</v>
      </c>
      <c r="C146" s="319">
        <v>1</v>
      </c>
      <c r="D146" s="179" t="s">
        <v>380</v>
      </c>
      <c r="E146" s="1"/>
      <c r="F146" s="2"/>
      <c r="G146" s="2"/>
      <c r="H146" s="3">
        <v>112</v>
      </c>
      <c r="I146" s="2"/>
      <c r="J146" s="2"/>
      <c r="K146" s="4">
        <v>10</v>
      </c>
      <c r="L146" s="2"/>
      <c r="M146" s="5"/>
      <c r="N146" s="11">
        <f t="shared" si="17"/>
        <v>102</v>
      </c>
      <c r="O146" s="45"/>
      <c r="P146" s="13">
        <f t="shared" si="18"/>
        <v>0</v>
      </c>
      <c r="Q146" s="14">
        <f t="shared" si="19"/>
        <v>0</v>
      </c>
      <c r="R146" s="14">
        <f t="shared" si="20"/>
        <v>0</v>
      </c>
      <c r="S146" s="42"/>
      <c r="T146" s="22">
        <f t="shared" si="21"/>
        <v>0</v>
      </c>
      <c r="U146" s="42"/>
      <c r="V146" s="27">
        <f t="shared" si="22"/>
        <v>0</v>
      </c>
      <c r="Y146" s="171">
        <f t="shared" si="23"/>
        <v>0</v>
      </c>
      <c r="Z146" s="171">
        <f t="shared" si="24"/>
        <v>0</v>
      </c>
    </row>
    <row r="147" spans="1:26">
      <c r="A147" s="177" t="s">
        <v>8</v>
      </c>
      <c r="B147" s="178" t="s">
        <v>189</v>
      </c>
      <c r="C147" s="319">
        <v>1</v>
      </c>
      <c r="D147" s="179" t="s">
        <v>380</v>
      </c>
      <c r="E147" s="1"/>
      <c r="F147" s="2"/>
      <c r="G147" s="2"/>
      <c r="H147" s="3">
        <v>95</v>
      </c>
      <c r="I147" s="2"/>
      <c r="J147" s="2"/>
      <c r="K147" s="4">
        <v>8</v>
      </c>
      <c r="L147" s="2"/>
      <c r="M147" s="5"/>
      <c r="N147" s="11">
        <f t="shared" si="17"/>
        <v>87</v>
      </c>
      <c r="O147" s="45"/>
      <c r="P147" s="13">
        <f t="shared" si="18"/>
        <v>0</v>
      </c>
      <c r="Q147" s="14">
        <f t="shared" si="19"/>
        <v>0</v>
      </c>
      <c r="R147" s="14">
        <f t="shared" si="20"/>
        <v>0</v>
      </c>
      <c r="S147" s="42"/>
      <c r="T147" s="22">
        <f t="shared" si="21"/>
        <v>0</v>
      </c>
      <c r="U147" s="42"/>
      <c r="V147" s="27">
        <f t="shared" si="22"/>
        <v>0</v>
      </c>
      <c r="Y147" s="171">
        <f t="shared" si="23"/>
        <v>0</v>
      </c>
      <c r="Z147" s="171">
        <f t="shared" si="24"/>
        <v>0</v>
      </c>
    </row>
    <row r="148" spans="1:26">
      <c r="A148" s="177" t="s">
        <v>8</v>
      </c>
      <c r="B148" s="178" t="s">
        <v>190</v>
      </c>
      <c r="C148" s="319">
        <v>1</v>
      </c>
      <c r="D148" s="179" t="s">
        <v>380</v>
      </c>
      <c r="E148" s="1"/>
      <c r="F148" s="2"/>
      <c r="G148" s="2"/>
      <c r="H148" s="3">
        <v>28</v>
      </c>
      <c r="I148" s="2"/>
      <c r="J148" s="2"/>
      <c r="K148" s="4">
        <v>2</v>
      </c>
      <c r="L148" s="2"/>
      <c r="M148" s="5"/>
      <c r="N148" s="11">
        <f t="shared" si="17"/>
        <v>26</v>
      </c>
      <c r="O148" s="45"/>
      <c r="P148" s="13">
        <f t="shared" si="18"/>
        <v>0</v>
      </c>
      <c r="Q148" s="14">
        <f t="shared" si="19"/>
        <v>0</v>
      </c>
      <c r="R148" s="14">
        <f t="shared" si="20"/>
        <v>0</v>
      </c>
      <c r="S148" s="42"/>
      <c r="T148" s="22">
        <f t="shared" si="21"/>
        <v>0</v>
      </c>
      <c r="U148" s="42"/>
      <c r="V148" s="27">
        <f t="shared" si="22"/>
        <v>0</v>
      </c>
      <c r="Y148" s="171">
        <f t="shared" si="23"/>
        <v>0</v>
      </c>
      <c r="Z148" s="171">
        <f t="shared" si="24"/>
        <v>0</v>
      </c>
    </row>
    <row r="149" spans="1:26">
      <c r="A149" s="177" t="s">
        <v>8</v>
      </c>
      <c r="B149" s="180" t="s">
        <v>191</v>
      </c>
      <c r="C149" s="320">
        <v>1</v>
      </c>
      <c r="D149" s="179" t="s">
        <v>380</v>
      </c>
      <c r="E149" s="1"/>
      <c r="F149" s="2"/>
      <c r="G149" s="2"/>
      <c r="H149" s="3">
        <v>76</v>
      </c>
      <c r="I149" s="2"/>
      <c r="J149" s="2"/>
      <c r="K149" s="4">
        <v>7</v>
      </c>
      <c r="L149" s="2"/>
      <c r="M149" s="5"/>
      <c r="N149" s="11">
        <f t="shared" si="17"/>
        <v>69</v>
      </c>
      <c r="O149" s="45"/>
      <c r="P149" s="13">
        <f t="shared" si="18"/>
        <v>0</v>
      </c>
      <c r="Q149" s="14">
        <f t="shared" si="19"/>
        <v>0</v>
      </c>
      <c r="R149" s="14">
        <f t="shared" si="20"/>
        <v>0</v>
      </c>
      <c r="S149" s="42"/>
      <c r="T149" s="22">
        <f t="shared" si="21"/>
        <v>0</v>
      </c>
      <c r="U149" s="42"/>
      <c r="V149" s="27">
        <f t="shared" si="22"/>
        <v>0</v>
      </c>
      <c r="Y149" s="171">
        <f t="shared" si="23"/>
        <v>0</v>
      </c>
      <c r="Z149" s="171">
        <f t="shared" si="24"/>
        <v>0</v>
      </c>
    </row>
    <row r="150" spans="1:26">
      <c r="A150" s="177" t="s">
        <v>8</v>
      </c>
      <c r="B150" s="178" t="s">
        <v>185</v>
      </c>
      <c r="C150" s="319">
        <v>2</v>
      </c>
      <c r="D150" s="179" t="s">
        <v>382</v>
      </c>
      <c r="E150" s="1"/>
      <c r="F150" s="2"/>
      <c r="G150" s="2"/>
      <c r="H150" s="3">
        <v>79</v>
      </c>
      <c r="I150" s="2"/>
      <c r="J150" s="2"/>
      <c r="K150" s="4">
        <v>7</v>
      </c>
      <c r="L150" s="2"/>
      <c r="M150" s="5"/>
      <c r="N150" s="11">
        <f t="shared" si="10"/>
        <v>72</v>
      </c>
      <c r="O150" s="45"/>
      <c r="P150" s="13">
        <f t="shared" si="11"/>
        <v>0</v>
      </c>
      <c r="Q150" s="14">
        <f t="shared" si="12"/>
        <v>0</v>
      </c>
      <c r="R150" s="14">
        <f t="shared" si="13"/>
        <v>0</v>
      </c>
      <c r="S150" s="42"/>
      <c r="T150" s="22">
        <f t="shared" ref="T150:T164" si="25">S150*H150</f>
        <v>0</v>
      </c>
      <c r="U150" s="42"/>
      <c r="V150" s="27">
        <f t="shared" si="14"/>
        <v>0</v>
      </c>
      <c r="Y150" s="171">
        <f t="shared" si="15"/>
        <v>0</v>
      </c>
      <c r="Z150" s="171">
        <f t="shared" si="16"/>
        <v>0</v>
      </c>
    </row>
    <row r="151" spans="1:26">
      <c r="A151" s="177" t="s">
        <v>8</v>
      </c>
      <c r="B151" s="178" t="s">
        <v>186</v>
      </c>
      <c r="C151" s="319">
        <v>2</v>
      </c>
      <c r="D151" s="179" t="s">
        <v>382</v>
      </c>
      <c r="E151" s="1"/>
      <c r="F151" s="2"/>
      <c r="G151" s="2"/>
      <c r="H151" s="3">
        <v>47</v>
      </c>
      <c r="I151" s="2"/>
      <c r="J151" s="2"/>
      <c r="K151" s="4">
        <v>4</v>
      </c>
      <c r="L151" s="2"/>
      <c r="M151" s="5"/>
      <c r="N151" s="11">
        <f t="shared" si="10"/>
        <v>43</v>
      </c>
      <c r="O151" s="45"/>
      <c r="P151" s="13">
        <f t="shared" si="11"/>
        <v>0</v>
      </c>
      <c r="Q151" s="14">
        <f t="shared" si="12"/>
        <v>0</v>
      </c>
      <c r="R151" s="14">
        <f t="shared" si="13"/>
        <v>0</v>
      </c>
      <c r="S151" s="42"/>
      <c r="T151" s="22">
        <f t="shared" si="25"/>
        <v>0</v>
      </c>
      <c r="U151" s="42"/>
      <c r="V151" s="27">
        <f t="shared" si="14"/>
        <v>0</v>
      </c>
      <c r="Y151" s="171">
        <f t="shared" si="15"/>
        <v>0</v>
      </c>
      <c r="Z151" s="171">
        <f t="shared" si="16"/>
        <v>0</v>
      </c>
    </row>
    <row r="152" spans="1:26">
      <c r="A152" s="177" t="s">
        <v>8</v>
      </c>
      <c r="B152" s="178" t="s">
        <v>187</v>
      </c>
      <c r="C152" s="319">
        <v>2</v>
      </c>
      <c r="D152" s="179" t="s">
        <v>382</v>
      </c>
      <c r="E152" s="1"/>
      <c r="F152" s="2"/>
      <c r="G152" s="2"/>
      <c r="H152" s="3">
        <v>73</v>
      </c>
      <c r="I152" s="2"/>
      <c r="J152" s="2"/>
      <c r="K152" s="4">
        <v>6</v>
      </c>
      <c r="L152" s="2"/>
      <c r="M152" s="5"/>
      <c r="N152" s="11">
        <f t="shared" si="10"/>
        <v>67</v>
      </c>
      <c r="O152" s="45"/>
      <c r="P152" s="13">
        <f t="shared" si="11"/>
        <v>0</v>
      </c>
      <c r="Q152" s="14">
        <f t="shared" si="12"/>
        <v>0</v>
      </c>
      <c r="R152" s="14">
        <f t="shared" si="13"/>
        <v>0</v>
      </c>
      <c r="S152" s="42"/>
      <c r="T152" s="22">
        <f t="shared" si="25"/>
        <v>0</v>
      </c>
      <c r="U152" s="42"/>
      <c r="V152" s="27">
        <f t="shared" si="14"/>
        <v>0</v>
      </c>
      <c r="Y152" s="171">
        <f t="shared" si="15"/>
        <v>0</v>
      </c>
      <c r="Z152" s="171">
        <f t="shared" si="16"/>
        <v>0</v>
      </c>
    </row>
    <row r="153" spans="1:26">
      <c r="A153" s="177" t="s">
        <v>8</v>
      </c>
      <c r="B153" s="178" t="s">
        <v>188</v>
      </c>
      <c r="C153" s="319">
        <v>2</v>
      </c>
      <c r="D153" s="179" t="s">
        <v>382</v>
      </c>
      <c r="E153" s="1"/>
      <c r="F153" s="2"/>
      <c r="G153" s="2"/>
      <c r="H153" s="3">
        <v>115</v>
      </c>
      <c r="I153" s="2"/>
      <c r="J153" s="2"/>
      <c r="K153" s="4">
        <v>10</v>
      </c>
      <c r="L153" s="2"/>
      <c r="M153" s="5"/>
      <c r="N153" s="11">
        <f t="shared" si="10"/>
        <v>105</v>
      </c>
      <c r="O153" s="45"/>
      <c r="P153" s="13">
        <f t="shared" si="11"/>
        <v>0</v>
      </c>
      <c r="Q153" s="14">
        <f t="shared" si="12"/>
        <v>0</v>
      </c>
      <c r="R153" s="14">
        <f t="shared" si="13"/>
        <v>0</v>
      </c>
      <c r="S153" s="42"/>
      <c r="T153" s="22">
        <f t="shared" si="25"/>
        <v>0</v>
      </c>
      <c r="U153" s="42"/>
      <c r="V153" s="27">
        <f t="shared" si="14"/>
        <v>0</v>
      </c>
      <c r="Y153" s="171">
        <f t="shared" si="15"/>
        <v>0</v>
      </c>
      <c r="Z153" s="171">
        <f t="shared" si="16"/>
        <v>0</v>
      </c>
    </row>
    <row r="154" spans="1:26">
      <c r="A154" s="177" t="s">
        <v>8</v>
      </c>
      <c r="B154" s="178" t="s">
        <v>189</v>
      </c>
      <c r="C154" s="319">
        <v>2</v>
      </c>
      <c r="D154" s="179" t="s">
        <v>382</v>
      </c>
      <c r="E154" s="1"/>
      <c r="F154" s="2"/>
      <c r="G154" s="2"/>
      <c r="H154" s="3">
        <v>90</v>
      </c>
      <c r="I154" s="2"/>
      <c r="J154" s="2"/>
      <c r="K154" s="4">
        <v>8</v>
      </c>
      <c r="L154" s="2"/>
      <c r="M154" s="5"/>
      <c r="N154" s="11">
        <f t="shared" si="10"/>
        <v>82</v>
      </c>
      <c r="O154" s="45"/>
      <c r="P154" s="13">
        <f t="shared" si="11"/>
        <v>0</v>
      </c>
      <c r="Q154" s="14">
        <f t="shared" si="12"/>
        <v>0</v>
      </c>
      <c r="R154" s="14">
        <f t="shared" si="13"/>
        <v>0</v>
      </c>
      <c r="S154" s="42"/>
      <c r="T154" s="22">
        <f t="shared" si="25"/>
        <v>0</v>
      </c>
      <c r="U154" s="42"/>
      <c r="V154" s="27">
        <f t="shared" si="14"/>
        <v>0</v>
      </c>
      <c r="Y154" s="171">
        <f t="shared" si="15"/>
        <v>0</v>
      </c>
      <c r="Z154" s="171">
        <f t="shared" si="16"/>
        <v>0</v>
      </c>
    </row>
    <row r="155" spans="1:26">
      <c r="A155" s="177" t="s">
        <v>8</v>
      </c>
      <c r="B155" s="178" t="s">
        <v>190</v>
      </c>
      <c r="C155" s="319">
        <v>2</v>
      </c>
      <c r="D155" s="179" t="s">
        <v>382</v>
      </c>
      <c r="E155" s="1"/>
      <c r="F155" s="2"/>
      <c r="G155" s="2"/>
      <c r="H155" s="3">
        <v>23</v>
      </c>
      <c r="I155" s="2"/>
      <c r="J155" s="2"/>
      <c r="K155" s="4">
        <v>2</v>
      </c>
      <c r="L155" s="2"/>
      <c r="M155" s="5"/>
      <c r="N155" s="11">
        <f t="shared" si="10"/>
        <v>21</v>
      </c>
      <c r="O155" s="45"/>
      <c r="P155" s="13">
        <f t="shared" si="11"/>
        <v>0</v>
      </c>
      <c r="Q155" s="14">
        <f t="shared" si="12"/>
        <v>0</v>
      </c>
      <c r="R155" s="14">
        <f t="shared" si="13"/>
        <v>0</v>
      </c>
      <c r="S155" s="42"/>
      <c r="T155" s="22">
        <f t="shared" si="25"/>
        <v>0</v>
      </c>
      <c r="U155" s="42"/>
      <c r="V155" s="27">
        <f t="shared" si="14"/>
        <v>0</v>
      </c>
      <c r="Y155" s="171">
        <f t="shared" si="15"/>
        <v>0</v>
      </c>
      <c r="Z155" s="171">
        <f t="shared" si="16"/>
        <v>0</v>
      </c>
    </row>
    <row r="156" spans="1:26">
      <c r="A156" s="177" t="s">
        <v>8</v>
      </c>
      <c r="B156" s="180" t="s">
        <v>191</v>
      </c>
      <c r="C156" s="320">
        <v>2</v>
      </c>
      <c r="D156" s="179" t="s">
        <v>382</v>
      </c>
      <c r="E156" s="1"/>
      <c r="F156" s="2"/>
      <c r="G156" s="2"/>
      <c r="H156" s="3">
        <v>72</v>
      </c>
      <c r="I156" s="2"/>
      <c r="J156" s="2"/>
      <c r="K156" s="4">
        <v>6</v>
      </c>
      <c r="L156" s="2"/>
      <c r="M156" s="5"/>
      <c r="N156" s="11">
        <f t="shared" si="10"/>
        <v>66</v>
      </c>
      <c r="O156" s="45"/>
      <c r="P156" s="13">
        <f t="shared" si="11"/>
        <v>0</v>
      </c>
      <c r="Q156" s="14">
        <f t="shared" si="12"/>
        <v>0</v>
      </c>
      <c r="R156" s="14">
        <f t="shared" si="13"/>
        <v>0</v>
      </c>
      <c r="S156" s="42"/>
      <c r="T156" s="22">
        <f t="shared" si="25"/>
        <v>0</v>
      </c>
      <c r="U156" s="42"/>
      <c r="V156" s="27">
        <f t="shared" si="14"/>
        <v>0</v>
      </c>
      <c r="Y156" s="171">
        <f t="shared" si="15"/>
        <v>0</v>
      </c>
      <c r="Z156" s="171">
        <f t="shared" si="16"/>
        <v>0</v>
      </c>
    </row>
    <row r="157" spans="1:26">
      <c r="A157" s="177" t="s">
        <v>8</v>
      </c>
      <c r="B157" s="178" t="s">
        <v>185</v>
      </c>
      <c r="C157" s="319">
        <v>3</v>
      </c>
      <c r="D157" s="179" t="s">
        <v>383</v>
      </c>
      <c r="E157" s="1"/>
      <c r="F157" s="2"/>
      <c r="G157" s="2"/>
      <c r="H157" s="3">
        <v>89</v>
      </c>
      <c r="I157" s="2"/>
      <c r="J157" s="2"/>
      <c r="K157" s="4">
        <v>8</v>
      </c>
      <c r="L157" s="2"/>
      <c r="M157" s="5"/>
      <c r="N157" s="11">
        <f t="shared" si="10"/>
        <v>81</v>
      </c>
      <c r="O157" s="45"/>
      <c r="P157" s="13">
        <f t="shared" si="11"/>
        <v>0</v>
      </c>
      <c r="Q157" s="14">
        <f t="shared" si="12"/>
        <v>0</v>
      </c>
      <c r="R157" s="14">
        <f t="shared" si="13"/>
        <v>0</v>
      </c>
      <c r="S157" s="42"/>
      <c r="T157" s="22">
        <f t="shared" si="25"/>
        <v>0</v>
      </c>
      <c r="U157" s="42"/>
      <c r="V157" s="27">
        <f t="shared" si="14"/>
        <v>0</v>
      </c>
      <c r="Y157" s="171">
        <f t="shared" si="15"/>
        <v>0</v>
      </c>
      <c r="Z157" s="171">
        <f t="shared" si="16"/>
        <v>0</v>
      </c>
    </row>
    <row r="158" spans="1:26">
      <c r="A158" s="177" t="s">
        <v>8</v>
      </c>
      <c r="B158" s="178" t="s">
        <v>186</v>
      </c>
      <c r="C158" s="319">
        <v>3</v>
      </c>
      <c r="D158" s="179" t="s">
        <v>383</v>
      </c>
      <c r="E158" s="1"/>
      <c r="F158" s="2"/>
      <c r="G158" s="2"/>
      <c r="H158" s="3">
        <v>47</v>
      </c>
      <c r="I158" s="2"/>
      <c r="J158" s="2"/>
      <c r="K158" s="4">
        <v>4</v>
      </c>
      <c r="L158" s="2"/>
      <c r="M158" s="5"/>
      <c r="N158" s="11">
        <f t="shared" si="10"/>
        <v>43</v>
      </c>
      <c r="O158" s="45"/>
      <c r="P158" s="13">
        <f t="shared" si="11"/>
        <v>0</v>
      </c>
      <c r="Q158" s="14">
        <f t="shared" si="12"/>
        <v>0</v>
      </c>
      <c r="R158" s="14">
        <f t="shared" si="13"/>
        <v>0</v>
      </c>
      <c r="S158" s="42"/>
      <c r="T158" s="22">
        <f t="shared" si="25"/>
        <v>0</v>
      </c>
      <c r="U158" s="42"/>
      <c r="V158" s="27">
        <f t="shared" si="14"/>
        <v>0</v>
      </c>
      <c r="Y158" s="171">
        <f t="shared" si="15"/>
        <v>0</v>
      </c>
      <c r="Z158" s="171">
        <f t="shared" si="16"/>
        <v>0</v>
      </c>
    </row>
    <row r="159" spans="1:26">
      <c r="A159" s="177" t="s">
        <v>8</v>
      </c>
      <c r="B159" s="178" t="s">
        <v>187</v>
      </c>
      <c r="C159" s="319">
        <v>3</v>
      </c>
      <c r="D159" s="179" t="s">
        <v>383</v>
      </c>
      <c r="E159" s="1"/>
      <c r="F159" s="2"/>
      <c r="G159" s="2"/>
      <c r="H159" s="3">
        <v>86</v>
      </c>
      <c r="I159" s="2"/>
      <c r="J159" s="2"/>
      <c r="K159" s="4">
        <v>8</v>
      </c>
      <c r="L159" s="2"/>
      <c r="M159" s="5"/>
      <c r="N159" s="11">
        <f t="shared" si="10"/>
        <v>78</v>
      </c>
      <c r="O159" s="45"/>
      <c r="P159" s="13">
        <f t="shared" si="11"/>
        <v>0</v>
      </c>
      <c r="Q159" s="14">
        <f t="shared" si="12"/>
        <v>0</v>
      </c>
      <c r="R159" s="14">
        <f t="shared" si="13"/>
        <v>0</v>
      </c>
      <c r="S159" s="42"/>
      <c r="T159" s="22">
        <f t="shared" si="25"/>
        <v>0</v>
      </c>
      <c r="U159" s="42"/>
      <c r="V159" s="27">
        <f t="shared" si="14"/>
        <v>0</v>
      </c>
      <c r="Y159" s="171">
        <f t="shared" si="15"/>
        <v>0</v>
      </c>
      <c r="Z159" s="171">
        <f t="shared" si="16"/>
        <v>0</v>
      </c>
    </row>
    <row r="160" spans="1:26">
      <c r="A160" s="177" t="s">
        <v>8</v>
      </c>
      <c r="B160" s="178" t="s">
        <v>188</v>
      </c>
      <c r="C160" s="319">
        <v>3</v>
      </c>
      <c r="D160" s="179" t="s">
        <v>383</v>
      </c>
      <c r="E160" s="1"/>
      <c r="F160" s="2"/>
      <c r="G160" s="2"/>
      <c r="H160" s="3">
        <v>119</v>
      </c>
      <c r="I160" s="2"/>
      <c r="J160" s="2"/>
      <c r="K160" s="4">
        <v>10</v>
      </c>
      <c r="L160" s="2"/>
      <c r="M160" s="5"/>
      <c r="N160" s="11">
        <f t="shared" si="10"/>
        <v>109</v>
      </c>
      <c r="O160" s="45"/>
      <c r="P160" s="13">
        <f t="shared" si="11"/>
        <v>0</v>
      </c>
      <c r="Q160" s="14">
        <f t="shared" si="12"/>
        <v>0</v>
      </c>
      <c r="R160" s="14">
        <f t="shared" si="13"/>
        <v>0</v>
      </c>
      <c r="S160" s="42"/>
      <c r="T160" s="22">
        <f t="shared" si="25"/>
        <v>0</v>
      </c>
      <c r="U160" s="42"/>
      <c r="V160" s="27">
        <f t="shared" si="14"/>
        <v>0</v>
      </c>
      <c r="Y160" s="171">
        <f t="shared" si="15"/>
        <v>0</v>
      </c>
      <c r="Z160" s="171">
        <f t="shared" si="16"/>
        <v>0</v>
      </c>
    </row>
    <row r="161" spans="1:26">
      <c r="A161" s="177" t="s">
        <v>8</v>
      </c>
      <c r="B161" s="180" t="s">
        <v>191</v>
      </c>
      <c r="C161" s="320">
        <v>3</v>
      </c>
      <c r="D161" s="179" t="s">
        <v>383</v>
      </c>
      <c r="E161" s="1"/>
      <c r="F161" s="2"/>
      <c r="G161" s="2"/>
      <c r="H161" s="3">
        <v>82</v>
      </c>
      <c r="I161" s="2"/>
      <c r="J161" s="2"/>
      <c r="K161" s="4">
        <v>7</v>
      </c>
      <c r="L161" s="2"/>
      <c r="M161" s="5"/>
      <c r="N161" s="11">
        <f t="shared" si="10"/>
        <v>75</v>
      </c>
      <c r="O161" s="45"/>
      <c r="P161" s="13">
        <f t="shared" si="11"/>
        <v>0</v>
      </c>
      <c r="Q161" s="14">
        <f t="shared" si="12"/>
        <v>0</v>
      </c>
      <c r="R161" s="14">
        <f t="shared" si="13"/>
        <v>0</v>
      </c>
      <c r="S161" s="42"/>
      <c r="T161" s="22">
        <f t="shared" si="25"/>
        <v>0</v>
      </c>
      <c r="U161" s="42"/>
      <c r="V161" s="27">
        <f t="shared" si="14"/>
        <v>0</v>
      </c>
      <c r="Y161" s="171">
        <f t="shared" si="15"/>
        <v>0</v>
      </c>
      <c r="Z161" s="171">
        <f t="shared" si="16"/>
        <v>0</v>
      </c>
    </row>
    <row r="162" spans="1:26">
      <c r="A162" s="177" t="s">
        <v>8</v>
      </c>
      <c r="B162" s="180" t="s">
        <v>192</v>
      </c>
      <c r="C162" s="320">
        <v>3</v>
      </c>
      <c r="D162" s="179" t="s">
        <v>380</v>
      </c>
      <c r="E162" s="1"/>
      <c r="F162" s="2"/>
      <c r="G162" s="2"/>
      <c r="H162" s="3">
        <v>41</v>
      </c>
      <c r="I162" s="2"/>
      <c r="J162" s="2"/>
      <c r="K162" s="4">
        <v>4</v>
      </c>
      <c r="L162" s="2"/>
      <c r="M162" s="5"/>
      <c r="N162" s="11">
        <f t="shared" si="10"/>
        <v>37</v>
      </c>
      <c r="O162" s="45"/>
      <c r="P162" s="13">
        <f t="shared" si="11"/>
        <v>0</v>
      </c>
      <c r="Q162" s="14">
        <f t="shared" si="12"/>
        <v>0</v>
      </c>
      <c r="R162" s="14">
        <f t="shared" si="13"/>
        <v>0</v>
      </c>
      <c r="S162" s="42"/>
      <c r="T162" s="22">
        <f t="shared" si="25"/>
        <v>0</v>
      </c>
      <c r="U162" s="42"/>
      <c r="V162" s="27">
        <f t="shared" si="14"/>
        <v>0</v>
      </c>
      <c r="Y162" s="171">
        <f t="shared" si="15"/>
        <v>0</v>
      </c>
      <c r="Z162" s="171">
        <f t="shared" si="16"/>
        <v>0</v>
      </c>
    </row>
    <row r="163" spans="1:26">
      <c r="A163" s="177" t="s">
        <v>8</v>
      </c>
      <c r="B163" s="178" t="s">
        <v>193</v>
      </c>
      <c r="C163" s="319">
        <v>3</v>
      </c>
      <c r="D163" s="179" t="s">
        <v>380</v>
      </c>
      <c r="E163" s="1"/>
      <c r="F163" s="2"/>
      <c r="G163" s="2"/>
      <c r="H163" s="3">
        <v>55</v>
      </c>
      <c r="I163" s="2"/>
      <c r="J163" s="2"/>
      <c r="K163" s="4">
        <v>5</v>
      </c>
      <c r="L163" s="2"/>
      <c r="M163" s="5"/>
      <c r="N163" s="11">
        <f t="shared" si="10"/>
        <v>50</v>
      </c>
      <c r="O163" s="45"/>
      <c r="P163" s="13">
        <f t="shared" si="11"/>
        <v>0</v>
      </c>
      <c r="Q163" s="14">
        <f t="shared" si="12"/>
        <v>0</v>
      </c>
      <c r="R163" s="14">
        <f t="shared" si="13"/>
        <v>0</v>
      </c>
      <c r="S163" s="42"/>
      <c r="T163" s="22">
        <f t="shared" si="25"/>
        <v>0</v>
      </c>
      <c r="U163" s="42"/>
      <c r="V163" s="27">
        <f t="shared" si="14"/>
        <v>0</v>
      </c>
      <c r="Y163" s="171">
        <f t="shared" si="15"/>
        <v>0</v>
      </c>
      <c r="Z163" s="171">
        <f t="shared" si="16"/>
        <v>0</v>
      </c>
    </row>
    <row r="164" spans="1:26">
      <c r="A164" s="177" t="s">
        <v>8</v>
      </c>
      <c r="B164" s="178" t="s">
        <v>194</v>
      </c>
      <c r="C164" s="319">
        <v>3</v>
      </c>
      <c r="D164" s="179" t="s">
        <v>380</v>
      </c>
      <c r="E164" s="1"/>
      <c r="F164" s="2"/>
      <c r="G164" s="2"/>
      <c r="H164" s="3">
        <v>18</v>
      </c>
      <c r="I164" s="2"/>
      <c r="J164" s="2"/>
      <c r="K164" s="4">
        <v>2</v>
      </c>
      <c r="L164" s="2"/>
      <c r="M164" s="5"/>
      <c r="N164" s="11">
        <f t="shared" si="10"/>
        <v>16</v>
      </c>
      <c r="O164" s="45"/>
      <c r="P164" s="13">
        <f t="shared" si="11"/>
        <v>0</v>
      </c>
      <c r="Q164" s="14">
        <f t="shared" si="12"/>
        <v>0</v>
      </c>
      <c r="R164" s="14">
        <f t="shared" si="13"/>
        <v>0</v>
      </c>
      <c r="S164" s="42"/>
      <c r="T164" s="22">
        <f t="shared" si="25"/>
        <v>0</v>
      </c>
      <c r="U164" s="42"/>
      <c r="V164" s="27">
        <f t="shared" si="14"/>
        <v>0</v>
      </c>
      <c r="Y164" s="171">
        <f t="shared" si="15"/>
        <v>0</v>
      </c>
      <c r="Z164" s="171">
        <f t="shared" si="16"/>
        <v>0</v>
      </c>
    </row>
    <row r="165" spans="1:26">
      <c r="A165" s="177" t="s">
        <v>8</v>
      </c>
      <c r="B165" s="178" t="s">
        <v>195</v>
      </c>
      <c r="C165" s="319">
        <v>3</v>
      </c>
      <c r="D165" s="179" t="s">
        <v>380</v>
      </c>
      <c r="E165" s="1"/>
      <c r="F165" s="2"/>
      <c r="G165" s="2"/>
      <c r="H165" s="3">
        <v>68</v>
      </c>
      <c r="I165" s="2"/>
      <c r="J165" s="2"/>
      <c r="K165" s="4">
        <v>6</v>
      </c>
      <c r="L165" s="2"/>
      <c r="M165" s="5"/>
      <c r="N165" s="11">
        <f t="shared" si="10"/>
        <v>62</v>
      </c>
      <c r="O165" s="45"/>
      <c r="P165" s="13">
        <f t="shared" si="11"/>
        <v>0</v>
      </c>
      <c r="Q165" s="14">
        <f t="shared" si="12"/>
        <v>0</v>
      </c>
      <c r="R165" s="14">
        <f t="shared" si="13"/>
        <v>0</v>
      </c>
      <c r="S165" s="42"/>
      <c r="T165" s="22">
        <f t="shared" ref="T165:T208" si="26">S165*H165</f>
        <v>0</v>
      </c>
      <c r="U165" s="42"/>
      <c r="V165" s="27">
        <f t="shared" si="14"/>
        <v>0</v>
      </c>
      <c r="Y165" s="171">
        <f t="shared" si="15"/>
        <v>0</v>
      </c>
      <c r="Z165" s="171">
        <f t="shared" si="16"/>
        <v>0</v>
      </c>
    </row>
    <row r="166" spans="1:26">
      <c r="A166" s="177" t="s">
        <v>8</v>
      </c>
      <c r="B166" s="178" t="s">
        <v>196</v>
      </c>
      <c r="C166" s="319">
        <v>3</v>
      </c>
      <c r="D166" s="179" t="s">
        <v>380</v>
      </c>
      <c r="E166" s="1"/>
      <c r="F166" s="2"/>
      <c r="G166" s="2"/>
      <c r="H166" s="3">
        <v>31</v>
      </c>
      <c r="I166" s="2"/>
      <c r="J166" s="2"/>
      <c r="K166" s="4">
        <v>3</v>
      </c>
      <c r="L166" s="2"/>
      <c r="M166" s="5"/>
      <c r="N166" s="11">
        <f t="shared" si="10"/>
        <v>28</v>
      </c>
      <c r="O166" s="45"/>
      <c r="P166" s="13">
        <f t="shared" si="11"/>
        <v>0</v>
      </c>
      <c r="Q166" s="14">
        <f t="shared" si="12"/>
        <v>0</v>
      </c>
      <c r="R166" s="14">
        <f t="shared" si="13"/>
        <v>0</v>
      </c>
      <c r="S166" s="42"/>
      <c r="T166" s="22">
        <f t="shared" si="26"/>
        <v>0</v>
      </c>
      <c r="U166" s="42"/>
      <c r="V166" s="27">
        <f t="shared" si="14"/>
        <v>0</v>
      </c>
      <c r="Y166" s="171">
        <f t="shared" si="15"/>
        <v>0</v>
      </c>
      <c r="Z166" s="171">
        <f t="shared" si="16"/>
        <v>0</v>
      </c>
    </row>
    <row r="167" spans="1:26">
      <c r="A167" s="177" t="s">
        <v>8</v>
      </c>
      <c r="B167" s="178" t="s">
        <v>185</v>
      </c>
      <c r="C167" s="319">
        <v>4</v>
      </c>
      <c r="D167" s="179" t="s">
        <v>384</v>
      </c>
      <c r="E167" s="1"/>
      <c r="F167" s="2"/>
      <c r="G167" s="2"/>
      <c r="H167" s="3">
        <v>63</v>
      </c>
      <c r="I167" s="2"/>
      <c r="J167" s="2"/>
      <c r="K167" s="4">
        <v>0</v>
      </c>
      <c r="L167" s="2"/>
      <c r="M167" s="5"/>
      <c r="N167" s="11">
        <f t="shared" si="10"/>
        <v>63</v>
      </c>
      <c r="O167" s="45"/>
      <c r="P167" s="13">
        <f t="shared" si="11"/>
        <v>0</v>
      </c>
      <c r="Q167" s="14">
        <f t="shared" si="12"/>
        <v>0</v>
      </c>
      <c r="R167" s="14">
        <f t="shared" si="13"/>
        <v>0</v>
      </c>
      <c r="S167" s="42"/>
      <c r="T167" s="22">
        <f t="shared" si="26"/>
        <v>0</v>
      </c>
      <c r="U167" s="42"/>
      <c r="V167" s="27">
        <f t="shared" si="14"/>
        <v>0</v>
      </c>
      <c r="Y167" s="171">
        <f t="shared" si="15"/>
        <v>0</v>
      </c>
      <c r="Z167" s="171">
        <f t="shared" si="16"/>
        <v>0</v>
      </c>
    </row>
    <row r="168" spans="1:26">
      <c r="A168" s="177" t="s">
        <v>8</v>
      </c>
      <c r="B168" s="178" t="s">
        <v>186</v>
      </c>
      <c r="C168" s="319">
        <v>4</v>
      </c>
      <c r="D168" s="179" t="s">
        <v>384</v>
      </c>
      <c r="E168" s="1"/>
      <c r="F168" s="2"/>
      <c r="G168" s="2"/>
      <c r="H168" s="3">
        <v>45</v>
      </c>
      <c r="I168" s="2"/>
      <c r="J168" s="2"/>
      <c r="K168" s="4">
        <v>9</v>
      </c>
      <c r="L168" s="2"/>
      <c r="M168" s="5"/>
      <c r="N168" s="11">
        <f t="shared" si="10"/>
        <v>36</v>
      </c>
      <c r="O168" s="45"/>
      <c r="P168" s="13">
        <f t="shared" si="11"/>
        <v>0</v>
      </c>
      <c r="Q168" s="14">
        <f t="shared" si="12"/>
        <v>0</v>
      </c>
      <c r="R168" s="14">
        <f t="shared" si="13"/>
        <v>0</v>
      </c>
      <c r="S168" s="42"/>
      <c r="T168" s="22">
        <f t="shared" si="26"/>
        <v>0</v>
      </c>
      <c r="U168" s="42"/>
      <c r="V168" s="27">
        <f t="shared" si="14"/>
        <v>0</v>
      </c>
      <c r="Y168" s="171">
        <f t="shared" si="15"/>
        <v>0</v>
      </c>
      <c r="Z168" s="171">
        <f t="shared" si="16"/>
        <v>0</v>
      </c>
    </row>
    <row r="169" spans="1:26">
      <c r="A169" s="177" t="s">
        <v>8</v>
      </c>
      <c r="B169" s="178" t="s">
        <v>187</v>
      </c>
      <c r="C169" s="319">
        <v>4</v>
      </c>
      <c r="D169" s="179" t="s">
        <v>384</v>
      </c>
      <c r="E169" s="1"/>
      <c r="F169" s="2"/>
      <c r="G169" s="2"/>
      <c r="H169" s="3">
        <v>60</v>
      </c>
      <c r="I169" s="2"/>
      <c r="J169" s="2"/>
      <c r="K169" s="4">
        <v>0</v>
      </c>
      <c r="L169" s="2"/>
      <c r="M169" s="5"/>
      <c r="N169" s="11">
        <f t="shared" si="10"/>
        <v>60</v>
      </c>
      <c r="O169" s="45"/>
      <c r="P169" s="13">
        <f t="shared" si="11"/>
        <v>0</v>
      </c>
      <c r="Q169" s="14">
        <f t="shared" si="12"/>
        <v>0</v>
      </c>
      <c r="R169" s="14">
        <f t="shared" si="13"/>
        <v>0</v>
      </c>
      <c r="S169" s="42"/>
      <c r="T169" s="22">
        <f t="shared" si="26"/>
        <v>0</v>
      </c>
      <c r="U169" s="42"/>
      <c r="V169" s="27">
        <f t="shared" si="14"/>
        <v>0</v>
      </c>
      <c r="Y169" s="171">
        <f t="shared" si="15"/>
        <v>0</v>
      </c>
      <c r="Z169" s="171">
        <f t="shared" si="16"/>
        <v>0</v>
      </c>
    </row>
    <row r="170" spans="1:26">
      <c r="A170" s="177" t="s">
        <v>8</v>
      </c>
      <c r="B170" s="178" t="s">
        <v>188</v>
      </c>
      <c r="C170" s="319">
        <v>4</v>
      </c>
      <c r="D170" s="179" t="s">
        <v>384</v>
      </c>
      <c r="E170" s="1"/>
      <c r="F170" s="2"/>
      <c r="G170" s="2"/>
      <c r="H170" s="3">
        <v>58</v>
      </c>
      <c r="I170" s="2"/>
      <c r="J170" s="2"/>
      <c r="K170" s="4">
        <v>12</v>
      </c>
      <c r="L170" s="2"/>
      <c r="M170" s="5"/>
      <c r="N170" s="11">
        <f t="shared" si="10"/>
        <v>46</v>
      </c>
      <c r="O170" s="45"/>
      <c r="P170" s="13">
        <f t="shared" si="11"/>
        <v>0</v>
      </c>
      <c r="Q170" s="14">
        <f t="shared" si="12"/>
        <v>0</v>
      </c>
      <c r="R170" s="14">
        <f t="shared" si="13"/>
        <v>0</v>
      </c>
      <c r="S170" s="42"/>
      <c r="T170" s="22">
        <f t="shared" si="26"/>
        <v>0</v>
      </c>
      <c r="U170" s="42"/>
      <c r="V170" s="27">
        <f t="shared" si="14"/>
        <v>0</v>
      </c>
      <c r="Y170" s="171">
        <f t="shared" si="15"/>
        <v>0</v>
      </c>
      <c r="Z170" s="171">
        <f t="shared" si="16"/>
        <v>0</v>
      </c>
    </row>
    <row r="171" spans="1:26">
      <c r="A171" s="177" t="s">
        <v>8</v>
      </c>
      <c r="B171" s="180" t="s">
        <v>191</v>
      </c>
      <c r="C171" s="320">
        <v>4</v>
      </c>
      <c r="D171" s="179" t="s">
        <v>384</v>
      </c>
      <c r="E171" s="1"/>
      <c r="F171" s="2"/>
      <c r="G171" s="2"/>
      <c r="H171" s="3">
        <v>43</v>
      </c>
      <c r="I171" s="2"/>
      <c r="J171" s="2"/>
      <c r="K171" s="4">
        <v>0</v>
      </c>
      <c r="L171" s="2"/>
      <c r="M171" s="5"/>
      <c r="N171" s="11">
        <f t="shared" si="10"/>
        <v>43</v>
      </c>
      <c r="O171" s="45"/>
      <c r="P171" s="13">
        <f t="shared" si="11"/>
        <v>0</v>
      </c>
      <c r="Q171" s="14">
        <f t="shared" si="12"/>
        <v>0</v>
      </c>
      <c r="R171" s="14">
        <f t="shared" si="13"/>
        <v>0</v>
      </c>
      <c r="S171" s="42"/>
      <c r="T171" s="22">
        <f t="shared" si="26"/>
        <v>0</v>
      </c>
      <c r="U171" s="42"/>
      <c r="V171" s="27">
        <f t="shared" si="14"/>
        <v>0</v>
      </c>
      <c r="Y171" s="171">
        <f t="shared" si="15"/>
        <v>0</v>
      </c>
      <c r="Z171" s="171">
        <f t="shared" si="16"/>
        <v>0</v>
      </c>
    </row>
    <row r="172" spans="1:26">
      <c r="A172" s="177" t="s">
        <v>8</v>
      </c>
      <c r="B172" s="180" t="s">
        <v>192</v>
      </c>
      <c r="C172" s="320">
        <v>4</v>
      </c>
      <c r="D172" s="179" t="s">
        <v>384</v>
      </c>
      <c r="E172" s="1"/>
      <c r="F172" s="2"/>
      <c r="G172" s="2"/>
      <c r="H172" s="3">
        <v>27</v>
      </c>
      <c r="I172" s="2"/>
      <c r="J172" s="2"/>
      <c r="K172" s="4">
        <v>0</v>
      </c>
      <c r="L172" s="2"/>
      <c r="M172" s="5"/>
      <c r="N172" s="11">
        <f t="shared" si="10"/>
        <v>27</v>
      </c>
      <c r="O172" s="45"/>
      <c r="P172" s="13">
        <f t="shared" si="11"/>
        <v>0</v>
      </c>
      <c r="Q172" s="14">
        <f t="shared" si="12"/>
        <v>0</v>
      </c>
      <c r="R172" s="14">
        <f t="shared" si="13"/>
        <v>0</v>
      </c>
      <c r="S172" s="42"/>
      <c r="T172" s="22">
        <f t="shared" si="26"/>
        <v>0</v>
      </c>
      <c r="U172" s="42"/>
      <c r="V172" s="27">
        <f t="shared" si="14"/>
        <v>0</v>
      </c>
      <c r="Y172" s="171">
        <f t="shared" si="15"/>
        <v>0</v>
      </c>
      <c r="Z172" s="171">
        <f t="shared" si="16"/>
        <v>0</v>
      </c>
    </row>
    <row r="173" spans="1:26">
      <c r="A173" s="177" t="s">
        <v>8</v>
      </c>
      <c r="B173" s="178" t="s">
        <v>193</v>
      </c>
      <c r="C173" s="319">
        <v>4</v>
      </c>
      <c r="D173" s="179" t="s">
        <v>382</v>
      </c>
      <c r="E173" s="1"/>
      <c r="F173" s="2"/>
      <c r="G173" s="2"/>
      <c r="H173" s="3">
        <v>48</v>
      </c>
      <c r="I173" s="2"/>
      <c r="J173" s="2"/>
      <c r="K173" s="4">
        <v>0</v>
      </c>
      <c r="L173" s="2"/>
      <c r="M173" s="5"/>
      <c r="N173" s="11">
        <f t="shared" si="10"/>
        <v>48</v>
      </c>
      <c r="O173" s="45"/>
      <c r="P173" s="13">
        <f t="shared" si="11"/>
        <v>0</v>
      </c>
      <c r="Q173" s="14">
        <f t="shared" si="12"/>
        <v>0</v>
      </c>
      <c r="R173" s="14">
        <f t="shared" si="13"/>
        <v>0</v>
      </c>
      <c r="S173" s="42"/>
      <c r="T173" s="22">
        <f t="shared" si="26"/>
        <v>0</v>
      </c>
      <c r="U173" s="42"/>
      <c r="V173" s="27">
        <f t="shared" si="14"/>
        <v>0</v>
      </c>
      <c r="Y173" s="171">
        <f t="shared" si="15"/>
        <v>0</v>
      </c>
      <c r="Z173" s="171">
        <f t="shared" si="16"/>
        <v>0</v>
      </c>
    </row>
    <row r="174" spans="1:26">
      <c r="A174" s="177" t="s">
        <v>8</v>
      </c>
      <c r="B174" s="178" t="s">
        <v>194</v>
      </c>
      <c r="C174" s="319">
        <v>4</v>
      </c>
      <c r="D174" s="179" t="s">
        <v>382</v>
      </c>
      <c r="E174" s="1"/>
      <c r="F174" s="2"/>
      <c r="G174" s="2"/>
      <c r="H174" s="3">
        <v>16</v>
      </c>
      <c r="I174" s="2"/>
      <c r="J174" s="2"/>
      <c r="K174" s="4">
        <v>3</v>
      </c>
      <c r="L174" s="2"/>
      <c r="M174" s="5"/>
      <c r="N174" s="11">
        <f t="shared" si="10"/>
        <v>13</v>
      </c>
      <c r="O174" s="45"/>
      <c r="P174" s="13">
        <f t="shared" si="11"/>
        <v>0</v>
      </c>
      <c r="Q174" s="14">
        <f t="shared" si="12"/>
        <v>0</v>
      </c>
      <c r="R174" s="14">
        <f t="shared" si="13"/>
        <v>0</v>
      </c>
      <c r="S174" s="42"/>
      <c r="T174" s="22">
        <f t="shared" si="26"/>
        <v>0</v>
      </c>
      <c r="U174" s="42"/>
      <c r="V174" s="27">
        <f t="shared" si="14"/>
        <v>0</v>
      </c>
      <c r="Y174" s="171">
        <f t="shared" si="15"/>
        <v>0</v>
      </c>
      <c r="Z174" s="171">
        <f t="shared" si="16"/>
        <v>0</v>
      </c>
    </row>
    <row r="175" spans="1:26">
      <c r="A175" s="177" t="s">
        <v>8</v>
      </c>
      <c r="B175" s="178" t="s">
        <v>197</v>
      </c>
      <c r="C175" s="319">
        <v>4</v>
      </c>
      <c r="D175" s="179" t="s">
        <v>382</v>
      </c>
      <c r="E175" s="1"/>
      <c r="F175" s="2"/>
      <c r="G175" s="2"/>
      <c r="H175" s="3">
        <v>43</v>
      </c>
      <c r="I175" s="2"/>
      <c r="J175" s="2"/>
      <c r="K175" s="4">
        <v>0</v>
      </c>
      <c r="L175" s="2"/>
      <c r="M175" s="5"/>
      <c r="N175" s="11">
        <f t="shared" si="10"/>
        <v>43</v>
      </c>
      <c r="O175" s="45"/>
      <c r="P175" s="13">
        <f t="shared" si="11"/>
        <v>0</v>
      </c>
      <c r="Q175" s="14">
        <f t="shared" si="12"/>
        <v>0</v>
      </c>
      <c r="R175" s="14">
        <f t="shared" si="13"/>
        <v>0</v>
      </c>
      <c r="S175" s="42"/>
      <c r="T175" s="22">
        <f t="shared" si="26"/>
        <v>0</v>
      </c>
      <c r="U175" s="42"/>
      <c r="V175" s="27">
        <f t="shared" si="14"/>
        <v>0</v>
      </c>
      <c r="Y175" s="171">
        <f t="shared" si="15"/>
        <v>0</v>
      </c>
      <c r="Z175" s="171">
        <f t="shared" si="16"/>
        <v>0</v>
      </c>
    </row>
    <row r="176" spans="1:26">
      <c r="A176" s="177" t="s">
        <v>8</v>
      </c>
      <c r="B176" s="178" t="s">
        <v>198</v>
      </c>
      <c r="C176" s="319">
        <v>4</v>
      </c>
      <c r="D176" s="179" t="s">
        <v>382</v>
      </c>
      <c r="E176" s="1"/>
      <c r="F176" s="2"/>
      <c r="G176" s="2"/>
      <c r="H176" s="3">
        <v>22</v>
      </c>
      <c r="I176" s="2"/>
      <c r="J176" s="2"/>
      <c r="K176" s="4">
        <v>4</v>
      </c>
      <c r="L176" s="2"/>
      <c r="M176" s="5"/>
      <c r="N176" s="11">
        <f t="shared" si="10"/>
        <v>18</v>
      </c>
      <c r="O176" s="45"/>
      <c r="P176" s="13">
        <f t="shared" si="11"/>
        <v>0</v>
      </c>
      <c r="Q176" s="14">
        <f t="shared" si="12"/>
        <v>0</v>
      </c>
      <c r="R176" s="14">
        <f t="shared" si="13"/>
        <v>0</v>
      </c>
      <c r="S176" s="42"/>
      <c r="T176" s="22">
        <f t="shared" si="26"/>
        <v>0</v>
      </c>
      <c r="U176" s="42"/>
      <c r="V176" s="27">
        <f t="shared" si="14"/>
        <v>0</v>
      </c>
      <c r="Y176" s="171">
        <f t="shared" si="15"/>
        <v>0</v>
      </c>
      <c r="Z176" s="171">
        <f t="shared" si="16"/>
        <v>0</v>
      </c>
    </row>
    <row r="177" spans="1:26">
      <c r="A177" s="177" t="s">
        <v>8</v>
      </c>
      <c r="B177" s="180" t="s">
        <v>199</v>
      </c>
      <c r="C177" s="320">
        <v>4</v>
      </c>
      <c r="D177" s="179" t="s">
        <v>382</v>
      </c>
      <c r="E177" s="1"/>
      <c r="F177" s="2"/>
      <c r="G177" s="2"/>
      <c r="H177" s="3">
        <v>59</v>
      </c>
      <c r="I177" s="2"/>
      <c r="J177" s="2"/>
      <c r="K177" s="4">
        <v>0</v>
      </c>
      <c r="L177" s="2"/>
      <c r="M177" s="5"/>
      <c r="N177" s="11">
        <f t="shared" si="10"/>
        <v>59</v>
      </c>
      <c r="O177" s="45"/>
      <c r="P177" s="13">
        <f t="shared" si="11"/>
        <v>0</v>
      </c>
      <c r="Q177" s="14">
        <f t="shared" si="12"/>
        <v>0</v>
      </c>
      <c r="R177" s="14">
        <f t="shared" si="13"/>
        <v>0</v>
      </c>
      <c r="S177" s="42"/>
      <c r="T177" s="22">
        <f t="shared" si="26"/>
        <v>0</v>
      </c>
      <c r="U177" s="42"/>
      <c r="V177" s="27">
        <f t="shared" si="14"/>
        <v>0</v>
      </c>
      <c r="Y177" s="171">
        <f t="shared" si="15"/>
        <v>0</v>
      </c>
      <c r="Z177" s="171">
        <f t="shared" si="16"/>
        <v>0</v>
      </c>
    </row>
    <row r="178" spans="1:26">
      <c r="A178" s="177" t="s">
        <v>8</v>
      </c>
      <c r="B178" s="178" t="s">
        <v>185</v>
      </c>
      <c r="C178" s="319">
        <v>5</v>
      </c>
      <c r="D178" s="179" t="s">
        <v>385</v>
      </c>
      <c r="E178" s="1"/>
      <c r="F178" s="2"/>
      <c r="G178" s="2"/>
      <c r="H178" s="3">
        <v>58</v>
      </c>
      <c r="I178" s="2"/>
      <c r="J178" s="2"/>
      <c r="K178" s="4">
        <v>0</v>
      </c>
      <c r="L178" s="2"/>
      <c r="M178" s="5"/>
      <c r="N178" s="11">
        <f t="shared" si="10"/>
        <v>58</v>
      </c>
      <c r="O178" s="45"/>
      <c r="P178" s="13">
        <f t="shared" si="11"/>
        <v>0</v>
      </c>
      <c r="Q178" s="14">
        <f t="shared" si="12"/>
        <v>0</v>
      </c>
      <c r="R178" s="14">
        <f t="shared" si="13"/>
        <v>0</v>
      </c>
      <c r="S178" s="42"/>
      <c r="T178" s="22">
        <f t="shared" si="26"/>
        <v>0</v>
      </c>
      <c r="U178" s="42"/>
      <c r="V178" s="27">
        <f t="shared" si="14"/>
        <v>0</v>
      </c>
      <c r="Y178" s="171">
        <f t="shared" si="15"/>
        <v>0</v>
      </c>
      <c r="Z178" s="171">
        <f t="shared" si="16"/>
        <v>0</v>
      </c>
    </row>
    <row r="179" spans="1:26">
      <c r="A179" s="177" t="s">
        <v>8</v>
      </c>
      <c r="B179" s="178" t="s">
        <v>186</v>
      </c>
      <c r="C179" s="319">
        <v>5</v>
      </c>
      <c r="D179" s="179" t="s">
        <v>385</v>
      </c>
      <c r="E179" s="1"/>
      <c r="F179" s="2"/>
      <c r="G179" s="2"/>
      <c r="H179" s="3">
        <v>45</v>
      </c>
      <c r="I179" s="2"/>
      <c r="J179" s="2"/>
      <c r="K179" s="4">
        <v>9</v>
      </c>
      <c r="L179" s="2"/>
      <c r="M179" s="5"/>
      <c r="N179" s="11">
        <f t="shared" si="10"/>
        <v>36</v>
      </c>
      <c r="O179" s="45"/>
      <c r="P179" s="13">
        <f t="shared" si="11"/>
        <v>0</v>
      </c>
      <c r="Q179" s="14">
        <f t="shared" si="12"/>
        <v>0</v>
      </c>
      <c r="R179" s="14">
        <f t="shared" si="13"/>
        <v>0</v>
      </c>
      <c r="S179" s="42"/>
      <c r="T179" s="22">
        <f t="shared" si="26"/>
        <v>0</v>
      </c>
      <c r="U179" s="42"/>
      <c r="V179" s="27">
        <f t="shared" si="14"/>
        <v>0</v>
      </c>
      <c r="Y179" s="171">
        <f t="shared" si="15"/>
        <v>0</v>
      </c>
      <c r="Z179" s="171">
        <f t="shared" si="16"/>
        <v>0</v>
      </c>
    </row>
    <row r="180" spans="1:26">
      <c r="A180" s="177" t="s">
        <v>8</v>
      </c>
      <c r="B180" s="178" t="s">
        <v>187</v>
      </c>
      <c r="C180" s="319">
        <v>5</v>
      </c>
      <c r="D180" s="179" t="s">
        <v>385</v>
      </c>
      <c r="E180" s="1"/>
      <c r="F180" s="2"/>
      <c r="G180" s="2"/>
      <c r="H180" s="3">
        <v>62</v>
      </c>
      <c r="I180" s="2"/>
      <c r="J180" s="2"/>
      <c r="K180" s="4">
        <v>0</v>
      </c>
      <c r="L180" s="2"/>
      <c r="M180" s="5"/>
      <c r="N180" s="11">
        <f t="shared" si="10"/>
        <v>62</v>
      </c>
      <c r="O180" s="45"/>
      <c r="P180" s="13">
        <f t="shared" si="11"/>
        <v>0</v>
      </c>
      <c r="Q180" s="14">
        <f t="shared" si="12"/>
        <v>0</v>
      </c>
      <c r="R180" s="14">
        <f t="shared" si="13"/>
        <v>0</v>
      </c>
      <c r="S180" s="42"/>
      <c r="T180" s="22">
        <f t="shared" si="26"/>
        <v>0</v>
      </c>
      <c r="U180" s="42"/>
      <c r="V180" s="27">
        <f t="shared" si="14"/>
        <v>0</v>
      </c>
      <c r="Y180" s="171">
        <f t="shared" si="15"/>
        <v>0</v>
      </c>
      <c r="Z180" s="171">
        <f t="shared" si="16"/>
        <v>0</v>
      </c>
    </row>
    <row r="181" spans="1:26">
      <c r="A181" s="177" t="s">
        <v>8</v>
      </c>
      <c r="B181" s="178" t="s">
        <v>188</v>
      </c>
      <c r="C181" s="319">
        <v>5</v>
      </c>
      <c r="D181" s="179" t="s">
        <v>385</v>
      </c>
      <c r="E181" s="1"/>
      <c r="F181" s="2"/>
      <c r="G181" s="2"/>
      <c r="H181" s="3">
        <v>83</v>
      </c>
      <c r="I181" s="2"/>
      <c r="J181" s="2"/>
      <c r="K181" s="4">
        <v>17</v>
      </c>
      <c r="L181" s="2"/>
      <c r="M181" s="5"/>
      <c r="N181" s="11">
        <f t="shared" si="10"/>
        <v>66</v>
      </c>
      <c r="O181" s="45"/>
      <c r="P181" s="13">
        <f t="shared" si="11"/>
        <v>0</v>
      </c>
      <c r="Q181" s="14">
        <f t="shared" si="12"/>
        <v>0</v>
      </c>
      <c r="R181" s="14">
        <f t="shared" si="13"/>
        <v>0</v>
      </c>
      <c r="S181" s="42"/>
      <c r="T181" s="22">
        <f t="shared" si="26"/>
        <v>0</v>
      </c>
      <c r="U181" s="42"/>
      <c r="V181" s="27">
        <f t="shared" si="14"/>
        <v>0</v>
      </c>
      <c r="Y181" s="171">
        <f t="shared" si="15"/>
        <v>0</v>
      </c>
      <c r="Z181" s="171">
        <f t="shared" si="16"/>
        <v>0</v>
      </c>
    </row>
    <row r="182" spans="1:26">
      <c r="A182" s="177" t="s">
        <v>8</v>
      </c>
      <c r="B182" s="180" t="s">
        <v>191</v>
      </c>
      <c r="C182" s="320">
        <v>5</v>
      </c>
      <c r="D182" s="179" t="s">
        <v>385</v>
      </c>
      <c r="E182" s="1"/>
      <c r="F182" s="2"/>
      <c r="G182" s="2"/>
      <c r="H182" s="3">
        <v>47</v>
      </c>
      <c r="I182" s="2"/>
      <c r="J182" s="2"/>
      <c r="K182" s="4">
        <v>0</v>
      </c>
      <c r="L182" s="2"/>
      <c r="M182" s="5"/>
      <c r="N182" s="11">
        <f t="shared" si="10"/>
        <v>47</v>
      </c>
      <c r="O182" s="45"/>
      <c r="P182" s="13">
        <f t="shared" si="11"/>
        <v>0</v>
      </c>
      <c r="Q182" s="14">
        <f t="shared" si="12"/>
        <v>0</v>
      </c>
      <c r="R182" s="14">
        <f t="shared" si="13"/>
        <v>0</v>
      </c>
      <c r="S182" s="42"/>
      <c r="T182" s="22">
        <f t="shared" si="26"/>
        <v>0</v>
      </c>
      <c r="U182" s="42"/>
      <c r="V182" s="27">
        <f t="shared" si="14"/>
        <v>0</v>
      </c>
      <c r="Y182" s="171">
        <f t="shared" si="15"/>
        <v>0</v>
      </c>
      <c r="Z182" s="171">
        <f t="shared" si="16"/>
        <v>0</v>
      </c>
    </row>
    <row r="183" spans="1:26">
      <c r="A183" s="177" t="s">
        <v>8</v>
      </c>
      <c r="B183" s="180" t="s">
        <v>192</v>
      </c>
      <c r="C183" s="320">
        <v>5</v>
      </c>
      <c r="D183" s="179" t="s">
        <v>385</v>
      </c>
      <c r="E183" s="1"/>
      <c r="F183" s="2"/>
      <c r="G183" s="2"/>
      <c r="H183" s="3">
        <v>30</v>
      </c>
      <c r="I183" s="2"/>
      <c r="J183" s="2"/>
      <c r="K183" s="4">
        <v>0</v>
      </c>
      <c r="L183" s="2"/>
      <c r="M183" s="5"/>
      <c r="N183" s="11">
        <f t="shared" si="10"/>
        <v>30</v>
      </c>
      <c r="O183" s="45"/>
      <c r="P183" s="13">
        <f t="shared" si="11"/>
        <v>0</v>
      </c>
      <c r="Q183" s="14">
        <f t="shared" si="12"/>
        <v>0</v>
      </c>
      <c r="R183" s="14">
        <f t="shared" si="13"/>
        <v>0</v>
      </c>
      <c r="S183" s="42"/>
      <c r="T183" s="22">
        <f t="shared" si="26"/>
        <v>0</v>
      </c>
      <c r="U183" s="42"/>
      <c r="V183" s="27">
        <f t="shared" si="14"/>
        <v>0</v>
      </c>
      <c r="Y183" s="171">
        <f t="shared" si="15"/>
        <v>0</v>
      </c>
      <c r="Z183" s="171">
        <f t="shared" si="16"/>
        <v>0</v>
      </c>
    </row>
    <row r="184" spans="1:26">
      <c r="A184" s="177" t="s">
        <v>8</v>
      </c>
      <c r="B184" s="178" t="s">
        <v>200</v>
      </c>
      <c r="C184" s="319">
        <v>5</v>
      </c>
      <c r="D184" s="179" t="s">
        <v>383</v>
      </c>
      <c r="E184" s="1"/>
      <c r="F184" s="2"/>
      <c r="G184" s="2"/>
      <c r="H184" s="3">
        <v>63</v>
      </c>
      <c r="I184" s="2"/>
      <c r="J184" s="2"/>
      <c r="K184" s="4">
        <v>0</v>
      </c>
      <c r="L184" s="2"/>
      <c r="M184" s="5"/>
      <c r="N184" s="11">
        <f t="shared" si="10"/>
        <v>63</v>
      </c>
      <c r="O184" s="45"/>
      <c r="P184" s="13">
        <f t="shared" si="11"/>
        <v>0</v>
      </c>
      <c r="Q184" s="14">
        <f t="shared" si="12"/>
        <v>0</v>
      </c>
      <c r="R184" s="14">
        <f t="shared" si="13"/>
        <v>0</v>
      </c>
      <c r="S184" s="42"/>
      <c r="T184" s="22">
        <f t="shared" si="26"/>
        <v>0</v>
      </c>
      <c r="U184" s="42"/>
      <c r="V184" s="27">
        <f t="shared" si="14"/>
        <v>0</v>
      </c>
      <c r="Y184" s="171">
        <f t="shared" si="15"/>
        <v>0</v>
      </c>
      <c r="Z184" s="171">
        <f t="shared" si="16"/>
        <v>0</v>
      </c>
    </row>
    <row r="185" spans="1:26">
      <c r="A185" s="177" t="s">
        <v>8</v>
      </c>
      <c r="B185" s="178" t="s">
        <v>201</v>
      </c>
      <c r="C185" s="319">
        <v>5</v>
      </c>
      <c r="D185" s="179" t="s">
        <v>383</v>
      </c>
      <c r="E185" s="1"/>
      <c r="F185" s="2"/>
      <c r="G185" s="2"/>
      <c r="H185" s="3">
        <v>18</v>
      </c>
      <c r="I185" s="2"/>
      <c r="J185" s="2"/>
      <c r="K185" s="4">
        <v>4</v>
      </c>
      <c r="L185" s="2"/>
      <c r="M185" s="5"/>
      <c r="N185" s="11">
        <f t="shared" si="10"/>
        <v>14</v>
      </c>
      <c r="O185" s="45"/>
      <c r="P185" s="13">
        <f t="shared" si="11"/>
        <v>0</v>
      </c>
      <c r="Q185" s="14">
        <f t="shared" si="12"/>
        <v>0</v>
      </c>
      <c r="R185" s="14">
        <f t="shared" si="13"/>
        <v>0</v>
      </c>
      <c r="S185" s="42"/>
      <c r="T185" s="22">
        <f t="shared" si="26"/>
        <v>0</v>
      </c>
      <c r="U185" s="42"/>
      <c r="V185" s="27">
        <f t="shared" si="14"/>
        <v>0</v>
      </c>
      <c r="Y185" s="171">
        <f t="shared" si="15"/>
        <v>0</v>
      </c>
      <c r="Z185" s="171">
        <f t="shared" si="16"/>
        <v>0</v>
      </c>
    </row>
    <row r="186" spans="1:26">
      <c r="A186" s="177" t="s">
        <v>8</v>
      </c>
      <c r="B186" s="178" t="s">
        <v>197</v>
      </c>
      <c r="C186" s="319">
        <v>5</v>
      </c>
      <c r="D186" s="179" t="s">
        <v>383</v>
      </c>
      <c r="E186" s="1"/>
      <c r="F186" s="2"/>
      <c r="G186" s="2"/>
      <c r="H186" s="3">
        <v>43</v>
      </c>
      <c r="I186" s="2"/>
      <c r="J186" s="2"/>
      <c r="K186" s="4">
        <v>0</v>
      </c>
      <c r="L186" s="2"/>
      <c r="M186" s="5"/>
      <c r="N186" s="11">
        <f t="shared" si="10"/>
        <v>43</v>
      </c>
      <c r="O186" s="45"/>
      <c r="P186" s="13">
        <f t="shared" si="11"/>
        <v>0</v>
      </c>
      <c r="Q186" s="14">
        <f t="shared" si="12"/>
        <v>0</v>
      </c>
      <c r="R186" s="14">
        <f t="shared" si="13"/>
        <v>0</v>
      </c>
      <c r="S186" s="42"/>
      <c r="T186" s="22">
        <f t="shared" si="26"/>
        <v>0</v>
      </c>
      <c r="U186" s="42"/>
      <c r="V186" s="27">
        <f t="shared" si="14"/>
        <v>0</v>
      </c>
      <c r="Y186" s="171">
        <f t="shared" si="15"/>
        <v>0</v>
      </c>
      <c r="Z186" s="171">
        <f t="shared" si="16"/>
        <v>0</v>
      </c>
    </row>
    <row r="187" spans="1:26">
      <c r="A187" s="177" t="s">
        <v>8</v>
      </c>
      <c r="B187" s="178" t="s">
        <v>198</v>
      </c>
      <c r="C187" s="319">
        <v>5</v>
      </c>
      <c r="D187" s="179" t="s">
        <v>383</v>
      </c>
      <c r="E187" s="1"/>
      <c r="F187" s="2"/>
      <c r="G187" s="2"/>
      <c r="H187" s="3">
        <v>27</v>
      </c>
      <c r="I187" s="2"/>
      <c r="J187" s="2"/>
      <c r="K187" s="4">
        <v>5</v>
      </c>
      <c r="L187" s="2"/>
      <c r="M187" s="5"/>
      <c r="N187" s="11">
        <f t="shared" si="10"/>
        <v>22</v>
      </c>
      <c r="O187" s="45"/>
      <c r="P187" s="13">
        <f t="shared" si="11"/>
        <v>0</v>
      </c>
      <c r="Q187" s="14">
        <f t="shared" si="12"/>
        <v>0</v>
      </c>
      <c r="R187" s="14">
        <f t="shared" si="13"/>
        <v>0</v>
      </c>
      <c r="S187" s="42"/>
      <c r="T187" s="22">
        <f t="shared" si="26"/>
        <v>0</v>
      </c>
      <c r="U187" s="42"/>
      <c r="V187" s="27">
        <f t="shared" si="14"/>
        <v>0</v>
      </c>
      <c r="Y187" s="171">
        <f t="shared" si="15"/>
        <v>0</v>
      </c>
      <c r="Z187" s="171">
        <f t="shared" si="16"/>
        <v>0</v>
      </c>
    </row>
    <row r="188" spans="1:26">
      <c r="A188" s="177" t="s">
        <v>8</v>
      </c>
      <c r="B188" s="180" t="s">
        <v>199</v>
      </c>
      <c r="C188" s="320">
        <v>5</v>
      </c>
      <c r="D188" s="179" t="s">
        <v>383</v>
      </c>
      <c r="E188" s="1"/>
      <c r="F188" s="2"/>
      <c r="G188" s="2"/>
      <c r="H188" s="3">
        <v>59</v>
      </c>
      <c r="I188" s="2"/>
      <c r="J188" s="2"/>
      <c r="K188" s="4">
        <v>0</v>
      </c>
      <c r="L188" s="2"/>
      <c r="M188" s="5"/>
      <c r="N188" s="11">
        <f t="shared" si="10"/>
        <v>59</v>
      </c>
      <c r="O188" s="45"/>
      <c r="P188" s="13">
        <f t="shared" si="11"/>
        <v>0</v>
      </c>
      <c r="Q188" s="14">
        <f t="shared" si="12"/>
        <v>0</v>
      </c>
      <c r="R188" s="14">
        <f t="shared" si="13"/>
        <v>0</v>
      </c>
      <c r="S188" s="42"/>
      <c r="T188" s="22">
        <f t="shared" si="26"/>
        <v>0</v>
      </c>
      <c r="U188" s="42"/>
      <c r="V188" s="27">
        <f t="shared" si="14"/>
        <v>0</v>
      </c>
      <c r="Y188" s="171">
        <f t="shared" si="15"/>
        <v>0</v>
      </c>
      <c r="Z188" s="171">
        <f t="shared" si="16"/>
        <v>0</v>
      </c>
    </row>
    <row r="189" spans="1:26">
      <c r="A189" s="177" t="s">
        <v>8</v>
      </c>
      <c r="B189" s="178" t="s">
        <v>185</v>
      </c>
      <c r="C189" s="319">
        <v>6</v>
      </c>
      <c r="D189" s="179" t="s">
        <v>381</v>
      </c>
      <c r="E189" s="1"/>
      <c r="F189" s="2"/>
      <c r="G189" s="2"/>
      <c r="H189" s="3">
        <v>50</v>
      </c>
      <c r="I189" s="2"/>
      <c r="J189" s="2"/>
      <c r="K189" s="4">
        <v>0</v>
      </c>
      <c r="L189" s="2"/>
      <c r="M189" s="5"/>
      <c r="N189" s="11">
        <f t="shared" si="10"/>
        <v>50</v>
      </c>
      <c r="O189" s="45"/>
      <c r="P189" s="13">
        <f t="shared" si="11"/>
        <v>0</v>
      </c>
      <c r="Q189" s="14">
        <f t="shared" si="12"/>
        <v>0</v>
      </c>
      <c r="R189" s="14">
        <f t="shared" si="13"/>
        <v>0</v>
      </c>
      <c r="S189" s="42"/>
      <c r="T189" s="22">
        <f t="shared" si="26"/>
        <v>0</v>
      </c>
      <c r="U189" s="42"/>
      <c r="V189" s="27">
        <f t="shared" si="14"/>
        <v>0</v>
      </c>
      <c r="Y189" s="171">
        <f t="shared" si="15"/>
        <v>0</v>
      </c>
      <c r="Z189" s="171">
        <f t="shared" si="16"/>
        <v>0</v>
      </c>
    </row>
    <row r="190" spans="1:26">
      <c r="A190" s="177" t="s">
        <v>8</v>
      </c>
      <c r="B190" s="178" t="s">
        <v>186</v>
      </c>
      <c r="C190" s="319">
        <v>6</v>
      </c>
      <c r="D190" s="179" t="s">
        <v>381</v>
      </c>
      <c r="E190" s="1"/>
      <c r="F190" s="2"/>
      <c r="G190" s="2"/>
      <c r="H190" s="3">
        <v>37</v>
      </c>
      <c r="I190" s="2"/>
      <c r="J190" s="2"/>
      <c r="K190" s="4">
        <v>7</v>
      </c>
      <c r="L190" s="2"/>
      <c r="M190" s="5"/>
      <c r="N190" s="11">
        <f t="shared" si="10"/>
        <v>30</v>
      </c>
      <c r="O190" s="45"/>
      <c r="P190" s="13">
        <f t="shared" si="11"/>
        <v>0</v>
      </c>
      <c r="Q190" s="14">
        <f t="shared" si="12"/>
        <v>0</v>
      </c>
      <c r="R190" s="14">
        <f t="shared" si="13"/>
        <v>0</v>
      </c>
      <c r="S190" s="42"/>
      <c r="T190" s="22">
        <f t="shared" si="26"/>
        <v>0</v>
      </c>
      <c r="U190" s="42"/>
      <c r="V190" s="27">
        <f t="shared" si="14"/>
        <v>0</v>
      </c>
      <c r="Y190" s="171">
        <f t="shared" si="15"/>
        <v>0</v>
      </c>
      <c r="Z190" s="171">
        <f t="shared" si="16"/>
        <v>0</v>
      </c>
    </row>
    <row r="191" spans="1:26">
      <c r="A191" s="177" t="s">
        <v>8</v>
      </c>
      <c r="B191" s="178" t="s">
        <v>187</v>
      </c>
      <c r="C191" s="319">
        <v>6</v>
      </c>
      <c r="D191" s="179" t="s">
        <v>381</v>
      </c>
      <c r="E191" s="1"/>
      <c r="F191" s="2"/>
      <c r="G191" s="2"/>
      <c r="H191" s="3">
        <v>47</v>
      </c>
      <c r="I191" s="2"/>
      <c r="J191" s="2"/>
      <c r="K191" s="4">
        <v>0</v>
      </c>
      <c r="L191" s="2"/>
      <c r="M191" s="5"/>
      <c r="N191" s="11">
        <f t="shared" si="10"/>
        <v>47</v>
      </c>
      <c r="O191" s="45"/>
      <c r="P191" s="13">
        <f t="shared" si="11"/>
        <v>0</v>
      </c>
      <c r="Q191" s="14">
        <f t="shared" si="12"/>
        <v>0</v>
      </c>
      <c r="R191" s="14">
        <f t="shared" si="13"/>
        <v>0</v>
      </c>
      <c r="S191" s="42"/>
      <c r="T191" s="22">
        <f t="shared" si="26"/>
        <v>0</v>
      </c>
      <c r="U191" s="42"/>
      <c r="V191" s="27">
        <f t="shared" si="14"/>
        <v>0</v>
      </c>
      <c r="Y191" s="171">
        <f t="shared" si="15"/>
        <v>0</v>
      </c>
      <c r="Z191" s="171">
        <f t="shared" si="16"/>
        <v>0</v>
      </c>
    </row>
    <row r="192" spans="1:26">
      <c r="A192" s="177" t="s">
        <v>8</v>
      </c>
      <c r="B192" s="178" t="s">
        <v>188</v>
      </c>
      <c r="C192" s="319">
        <v>6</v>
      </c>
      <c r="D192" s="179" t="s">
        <v>381</v>
      </c>
      <c r="E192" s="1"/>
      <c r="F192" s="2"/>
      <c r="G192" s="2"/>
      <c r="H192" s="3">
        <v>43</v>
      </c>
      <c r="I192" s="2"/>
      <c r="J192" s="2"/>
      <c r="K192" s="4">
        <v>9</v>
      </c>
      <c r="L192" s="2"/>
      <c r="M192" s="5"/>
      <c r="N192" s="11">
        <f t="shared" si="10"/>
        <v>34</v>
      </c>
      <c r="O192" s="45"/>
      <c r="P192" s="13">
        <f t="shared" si="11"/>
        <v>0</v>
      </c>
      <c r="Q192" s="14">
        <f t="shared" si="12"/>
        <v>0</v>
      </c>
      <c r="R192" s="14">
        <f t="shared" si="13"/>
        <v>0</v>
      </c>
      <c r="S192" s="42"/>
      <c r="T192" s="22">
        <f t="shared" si="26"/>
        <v>0</v>
      </c>
      <c r="U192" s="42"/>
      <c r="V192" s="27">
        <f t="shared" si="14"/>
        <v>0</v>
      </c>
      <c r="Y192" s="171">
        <f t="shared" si="15"/>
        <v>0</v>
      </c>
      <c r="Z192" s="171">
        <f t="shared" si="16"/>
        <v>0</v>
      </c>
    </row>
    <row r="193" spans="1:26">
      <c r="A193" s="177" t="s">
        <v>8</v>
      </c>
      <c r="B193" s="180" t="s">
        <v>191</v>
      </c>
      <c r="C193" s="320">
        <v>6</v>
      </c>
      <c r="D193" s="179" t="s">
        <v>381</v>
      </c>
      <c r="E193" s="1"/>
      <c r="F193" s="2"/>
      <c r="G193" s="2"/>
      <c r="H193" s="3">
        <v>43</v>
      </c>
      <c r="I193" s="2"/>
      <c r="J193" s="2"/>
      <c r="K193" s="4">
        <v>0</v>
      </c>
      <c r="L193" s="2"/>
      <c r="M193" s="5"/>
      <c r="N193" s="11">
        <f t="shared" si="10"/>
        <v>43</v>
      </c>
      <c r="O193" s="45"/>
      <c r="P193" s="13">
        <f t="shared" si="11"/>
        <v>0</v>
      </c>
      <c r="Q193" s="14">
        <f t="shared" si="12"/>
        <v>0</v>
      </c>
      <c r="R193" s="14">
        <f t="shared" si="13"/>
        <v>0</v>
      </c>
      <c r="S193" s="42"/>
      <c r="T193" s="22">
        <f t="shared" si="26"/>
        <v>0</v>
      </c>
      <c r="U193" s="42"/>
      <c r="V193" s="27">
        <f t="shared" si="14"/>
        <v>0</v>
      </c>
      <c r="Y193" s="171">
        <f t="shared" si="15"/>
        <v>0</v>
      </c>
      <c r="Z193" s="171">
        <f t="shared" si="16"/>
        <v>0</v>
      </c>
    </row>
    <row r="194" spans="1:26">
      <c r="A194" s="177" t="s">
        <v>8</v>
      </c>
      <c r="B194" s="180" t="s">
        <v>192</v>
      </c>
      <c r="C194" s="320">
        <v>6</v>
      </c>
      <c r="D194" s="179" t="s">
        <v>381</v>
      </c>
      <c r="E194" s="1"/>
      <c r="F194" s="2"/>
      <c r="G194" s="2"/>
      <c r="H194" s="3">
        <v>27</v>
      </c>
      <c r="I194" s="2"/>
      <c r="J194" s="2"/>
      <c r="K194" s="4">
        <v>0</v>
      </c>
      <c r="L194" s="2"/>
      <c r="M194" s="5"/>
      <c r="N194" s="11">
        <f t="shared" si="10"/>
        <v>27</v>
      </c>
      <c r="O194" s="45"/>
      <c r="P194" s="13">
        <f t="shared" si="11"/>
        <v>0</v>
      </c>
      <c r="Q194" s="14">
        <f t="shared" si="12"/>
        <v>0</v>
      </c>
      <c r="R194" s="14">
        <f t="shared" si="13"/>
        <v>0</v>
      </c>
      <c r="S194" s="42"/>
      <c r="T194" s="22">
        <f t="shared" si="26"/>
        <v>0</v>
      </c>
      <c r="U194" s="42"/>
      <c r="V194" s="27">
        <f t="shared" si="14"/>
        <v>0</v>
      </c>
      <c r="Y194" s="171">
        <f t="shared" si="15"/>
        <v>0</v>
      </c>
      <c r="Z194" s="171">
        <f t="shared" si="16"/>
        <v>0</v>
      </c>
    </row>
    <row r="195" spans="1:26">
      <c r="A195" s="177" t="s">
        <v>8</v>
      </c>
      <c r="B195" s="178" t="s">
        <v>193</v>
      </c>
      <c r="C195" s="319">
        <v>6</v>
      </c>
      <c r="D195" s="179" t="s">
        <v>384</v>
      </c>
      <c r="E195" s="1"/>
      <c r="F195" s="2"/>
      <c r="G195" s="2"/>
      <c r="H195" s="3">
        <v>43</v>
      </c>
      <c r="I195" s="2"/>
      <c r="J195" s="2"/>
      <c r="K195" s="4">
        <v>0</v>
      </c>
      <c r="L195" s="2"/>
      <c r="M195" s="5"/>
      <c r="N195" s="11">
        <f t="shared" si="10"/>
        <v>43</v>
      </c>
      <c r="O195" s="45"/>
      <c r="P195" s="13">
        <f t="shared" si="11"/>
        <v>0</v>
      </c>
      <c r="Q195" s="14">
        <f t="shared" si="12"/>
        <v>0</v>
      </c>
      <c r="R195" s="14">
        <f t="shared" si="13"/>
        <v>0</v>
      </c>
      <c r="S195" s="42"/>
      <c r="T195" s="22">
        <f t="shared" si="26"/>
        <v>0</v>
      </c>
      <c r="U195" s="42"/>
      <c r="V195" s="27">
        <f t="shared" si="14"/>
        <v>0</v>
      </c>
      <c r="Y195" s="171">
        <f t="shared" si="15"/>
        <v>0</v>
      </c>
      <c r="Z195" s="171">
        <f t="shared" si="16"/>
        <v>0</v>
      </c>
    </row>
    <row r="196" spans="1:26">
      <c r="A196" s="177" t="s">
        <v>8</v>
      </c>
      <c r="B196" s="178" t="s">
        <v>194</v>
      </c>
      <c r="C196" s="319">
        <v>6</v>
      </c>
      <c r="D196" s="179" t="s">
        <v>384</v>
      </c>
      <c r="E196" s="1"/>
      <c r="F196" s="2"/>
      <c r="G196" s="2"/>
      <c r="H196" s="3">
        <v>17</v>
      </c>
      <c r="I196" s="2"/>
      <c r="J196" s="2"/>
      <c r="K196" s="4">
        <v>3</v>
      </c>
      <c r="L196" s="2"/>
      <c r="M196" s="5"/>
      <c r="N196" s="11">
        <f t="shared" si="10"/>
        <v>14</v>
      </c>
      <c r="O196" s="45"/>
      <c r="P196" s="13">
        <f t="shared" si="11"/>
        <v>0</v>
      </c>
      <c r="Q196" s="14">
        <f t="shared" si="12"/>
        <v>0</v>
      </c>
      <c r="R196" s="14">
        <f t="shared" si="13"/>
        <v>0</v>
      </c>
      <c r="S196" s="42"/>
      <c r="T196" s="22">
        <f t="shared" si="26"/>
        <v>0</v>
      </c>
      <c r="U196" s="42"/>
      <c r="V196" s="27">
        <f t="shared" si="14"/>
        <v>0</v>
      </c>
      <c r="Y196" s="171">
        <f t="shared" si="15"/>
        <v>0</v>
      </c>
      <c r="Z196" s="171">
        <f t="shared" si="16"/>
        <v>0</v>
      </c>
    </row>
    <row r="197" spans="1:26">
      <c r="A197" s="177" t="s">
        <v>8</v>
      </c>
      <c r="B197" s="178" t="s">
        <v>197</v>
      </c>
      <c r="C197" s="319">
        <v>6</v>
      </c>
      <c r="D197" s="179" t="s">
        <v>384</v>
      </c>
      <c r="E197" s="1"/>
      <c r="F197" s="2"/>
      <c r="G197" s="2"/>
      <c r="H197" s="3">
        <v>38</v>
      </c>
      <c r="I197" s="2"/>
      <c r="J197" s="2"/>
      <c r="K197" s="4">
        <v>0</v>
      </c>
      <c r="L197" s="2"/>
      <c r="M197" s="5"/>
      <c r="N197" s="11">
        <f t="shared" si="10"/>
        <v>38</v>
      </c>
      <c r="O197" s="45"/>
      <c r="P197" s="13">
        <f t="shared" si="11"/>
        <v>0</v>
      </c>
      <c r="Q197" s="14">
        <f t="shared" si="12"/>
        <v>0</v>
      </c>
      <c r="R197" s="14">
        <f t="shared" si="13"/>
        <v>0</v>
      </c>
      <c r="S197" s="42"/>
      <c r="T197" s="22">
        <f t="shared" si="26"/>
        <v>0</v>
      </c>
      <c r="U197" s="42"/>
      <c r="V197" s="27">
        <f t="shared" si="14"/>
        <v>0</v>
      </c>
      <c r="Y197" s="171">
        <f t="shared" si="15"/>
        <v>0</v>
      </c>
      <c r="Z197" s="171">
        <f t="shared" si="16"/>
        <v>0</v>
      </c>
    </row>
    <row r="198" spans="1:26">
      <c r="A198" s="177" t="s">
        <v>8</v>
      </c>
      <c r="B198" s="178" t="s">
        <v>198</v>
      </c>
      <c r="C198" s="319">
        <v>6</v>
      </c>
      <c r="D198" s="179" t="s">
        <v>384</v>
      </c>
      <c r="E198" s="1"/>
      <c r="F198" s="2"/>
      <c r="G198" s="2"/>
      <c r="H198" s="3">
        <v>18</v>
      </c>
      <c r="I198" s="2"/>
      <c r="J198" s="2"/>
      <c r="K198" s="4">
        <v>4</v>
      </c>
      <c r="L198" s="2"/>
      <c r="M198" s="5"/>
      <c r="N198" s="11">
        <f t="shared" si="10"/>
        <v>14</v>
      </c>
      <c r="O198" s="45"/>
      <c r="P198" s="13">
        <f t="shared" ref="P198:P215" si="27">N198*O198</f>
        <v>0</v>
      </c>
      <c r="Q198" s="14">
        <f t="shared" ref="Q198:Q215" si="28">J198-O198</f>
        <v>0</v>
      </c>
      <c r="R198" s="14">
        <f t="shared" ref="R198:R215" si="29">N198*Q198</f>
        <v>0</v>
      </c>
      <c r="S198" s="42"/>
      <c r="T198" s="22">
        <f t="shared" si="26"/>
        <v>0</v>
      </c>
      <c r="U198" s="42"/>
      <c r="V198" s="27">
        <f t="shared" si="14"/>
        <v>0</v>
      </c>
      <c r="Y198" s="171">
        <f t="shared" ref="Y198:Y215" si="30">K198*O198</f>
        <v>0</v>
      </c>
      <c r="Z198" s="171">
        <f t="shared" ref="Z198:Z215" si="31">K198*Q198</f>
        <v>0</v>
      </c>
    </row>
    <row r="199" spans="1:26">
      <c r="A199" s="177" t="s">
        <v>8</v>
      </c>
      <c r="B199" s="180" t="s">
        <v>199</v>
      </c>
      <c r="C199" s="320">
        <v>6</v>
      </c>
      <c r="D199" s="179" t="s">
        <v>384</v>
      </c>
      <c r="E199" s="1"/>
      <c r="F199" s="2"/>
      <c r="G199" s="2"/>
      <c r="H199" s="3">
        <v>59</v>
      </c>
      <c r="I199" s="2"/>
      <c r="J199" s="2"/>
      <c r="K199" s="4">
        <v>0</v>
      </c>
      <c r="L199" s="2"/>
      <c r="M199" s="5"/>
      <c r="N199" s="11">
        <f t="shared" si="10"/>
        <v>59</v>
      </c>
      <c r="O199" s="45"/>
      <c r="P199" s="13">
        <f t="shared" si="27"/>
        <v>0</v>
      </c>
      <c r="Q199" s="14">
        <f t="shared" si="28"/>
        <v>0</v>
      </c>
      <c r="R199" s="14">
        <f t="shared" si="29"/>
        <v>0</v>
      </c>
      <c r="S199" s="42"/>
      <c r="T199" s="22">
        <f t="shared" si="26"/>
        <v>0</v>
      </c>
      <c r="U199" s="42"/>
      <c r="V199" s="27">
        <f t="shared" si="14"/>
        <v>0</v>
      </c>
      <c r="Y199" s="171">
        <f t="shared" si="30"/>
        <v>0</v>
      </c>
      <c r="Z199" s="171">
        <f t="shared" si="31"/>
        <v>0</v>
      </c>
    </row>
    <row r="200" spans="1:26">
      <c r="A200" s="181" t="s">
        <v>202</v>
      </c>
      <c r="B200" s="182" t="s">
        <v>203</v>
      </c>
      <c r="C200" s="321">
        <v>3</v>
      </c>
      <c r="D200" s="183" t="s">
        <v>380</v>
      </c>
      <c r="E200" s="6"/>
      <c r="F200" s="7"/>
      <c r="G200" s="7"/>
      <c r="H200" s="8">
        <v>52</v>
      </c>
      <c r="I200" s="7"/>
      <c r="J200" s="7"/>
      <c r="K200" s="9">
        <v>3</v>
      </c>
      <c r="L200" s="7"/>
      <c r="M200" s="10"/>
      <c r="N200" s="12">
        <f t="shared" si="10"/>
        <v>49</v>
      </c>
      <c r="O200" s="46"/>
      <c r="P200" s="15">
        <f t="shared" si="27"/>
        <v>0</v>
      </c>
      <c r="Q200" s="16">
        <f t="shared" si="28"/>
        <v>0</v>
      </c>
      <c r="R200" s="16">
        <f t="shared" si="29"/>
        <v>0</v>
      </c>
      <c r="S200" s="43"/>
      <c r="T200" s="23">
        <f t="shared" si="26"/>
        <v>0</v>
      </c>
      <c r="U200" s="43"/>
      <c r="V200" s="28">
        <f t="shared" si="14"/>
        <v>0</v>
      </c>
      <c r="Y200" s="171">
        <f t="shared" si="30"/>
        <v>0</v>
      </c>
      <c r="Z200" s="171">
        <f t="shared" si="31"/>
        <v>0</v>
      </c>
    </row>
    <row r="201" spans="1:26">
      <c r="A201" s="181" t="s">
        <v>202</v>
      </c>
      <c r="B201" s="182" t="s">
        <v>204</v>
      </c>
      <c r="C201" s="321">
        <v>3</v>
      </c>
      <c r="D201" s="183" t="s">
        <v>380</v>
      </c>
      <c r="E201" s="6"/>
      <c r="F201" s="7"/>
      <c r="G201" s="7"/>
      <c r="H201" s="8">
        <v>22</v>
      </c>
      <c r="I201" s="7"/>
      <c r="J201" s="7"/>
      <c r="K201" s="9">
        <v>4</v>
      </c>
      <c r="L201" s="7"/>
      <c r="M201" s="10"/>
      <c r="N201" s="12">
        <f t="shared" si="10"/>
        <v>18</v>
      </c>
      <c r="O201" s="46"/>
      <c r="P201" s="15">
        <f t="shared" si="27"/>
        <v>0</v>
      </c>
      <c r="Q201" s="16">
        <f t="shared" si="28"/>
        <v>0</v>
      </c>
      <c r="R201" s="16">
        <f t="shared" si="29"/>
        <v>0</v>
      </c>
      <c r="S201" s="43"/>
      <c r="T201" s="23">
        <f t="shared" si="26"/>
        <v>0</v>
      </c>
      <c r="U201" s="43"/>
      <c r="V201" s="28">
        <f t="shared" si="14"/>
        <v>0</v>
      </c>
      <c r="Y201" s="171">
        <f t="shared" si="30"/>
        <v>0</v>
      </c>
      <c r="Z201" s="171">
        <f t="shared" si="31"/>
        <v>0</v>
      </c>
    </row>
    <row r="202" spans="1:26">
      <c r="A202" s="181" t="s">
        <v>202</v>
      </c>
      <c r="B202" s="182" t="s">
        <v>205</v>
      </c>
      <c r="C202" s="321">
        <v>4</v>
      </c>
      <c r="D202" s="183" t="s">
        <v>382</v>
      </c>
      <c r="E202" s="6"/>
      <c r="F202" s="7"/>
      <c r="G202" s="7"/>
      <c r="H202" s="8">
        <v>53</v>
      </c>
      <c r="I202" s="7"/>
      <c r="J202" s="7"/>
      <c r="K202" s="9">
        <v>0</v>
      </c>
      <c r="L202" s="7"/>
      <c r="M202" s="10"/>
      <c r="N202" s="12">
        <f t="shared" si="10"/>
        <v>53</v>
      </c>
      <c r="O202" s="46"/>
      <c r="P202" s="15">
        <f t="shared" si="27"/>
        <v>0</v>
      </c>
      <c r="Q202" s="16">
        <f t="shared" si="28"/>
        <v>0</v>
      </c>
      <c r="R202" s="16">
        <f t="shared" si="29"/>
        <v>0</v>
      </c>
      <c r="S202" s="43"/>
      <c r="T202" s="23">
        <f t="shared" si="26"/>
        <v>0</v>
      </c>
      <c r="U202" s="43"/>
      <c r="V202" s="28">
        <f t="shared" si="14"/>
        <v>0</v>
      </c>
      <c r="Y202" s="171">
        <f t="shared" si="30"/>
        <v>0</v>
      </c>
      <c r="Z202" s="171">
        <f t="shared" si="31"/>
        <v>0</v>
      </c>
    </row>
    <row r="203" spans="1:26">
      <c r="A203" s="181" t="s">
        <v>202</v>
      </c>
      <c r="B203" s="182" t="s">
        <v>206</v>
      </c>
      <c r="C203" s="321">
        <v>4</v>
      </c>
      <c r="D203" s="183" t="s">
        <v>382</v>
      </c>
      <c r="E203" s="6"/>
      <c r="F203" s="7"/>
      <c r="G203" s="7"/>
      <c r="H203" s="8">
        <v>21</v>
      </c>
      <c r="I203" s="7"/>
      <c r="J203" s="7"/>
      <c r="K203" s="9">
        <v>0</v>
      </c>
      <c r="L203" s="7"/>
      <c r="M203" s="10"/>
      <c r="N203" s="12">
        <f t="shared" si="10"/>
        <v>21</v>
      </c>
      <c r="O203" s="46"/>
      <c r="P203" s="15">
        <f t="shared" si="27"/>
        <v>0</v>
      </c>
      <c r="Q203" s="16">
        <f t="shared" si="28"/>
        <v>0</v>
      </c>
      <c r="R203" s="16">
        <f t="shared" si="29"/>
        <v>0</v>
      </c>
      <c r="S203" s="43"/>
      <c r="T203" s="23">
        <f t="shared" si="26"/>
        <v>0</v>
      </c>
      <c r="U203" s="43"/>
      <c r="V203" s="28">
        <f t="shared" si="14"/>
        <v>0</v>
      </c>
      <c r="Y203" s="171">
        <f t="shared" si="30"/>
        <v>0</v>
      </c>
      <c r="Z203" s="171">
        <f t="shared" si="31"/>
        <v>0</v>
      </c>
    </row>
    <row r="204" spans="1:26">
      <c r="A204" s="181" t="s">
        <v>202</v>
      </c>
      <c r="B204" s="182" t="s">
        <v>207</v>
      </c>
      <c r="C204" s="321">
        <v>4</v>
      </c>
      <c r="D204" s="183" t="s">
        <v>382</v>
      </c>
      <c r="E204" s="6"/>
      <c r="F204" s="7"/>
      <c r="G204" s="7"/>
      <c r="H204" s="8">
        <v>50</v>
      </c>
      <c r="I204" s="7"/>
      <c r="J204" s="7"/>
      <c r="K204" s="9">
        <v>0</v>
      </c>
      <c r="L204" s="7"/>
      <c r="M204" s="10"/>
      <c r="N204" s="12">
        <f t="shared" si="10"/>
        <v>50</v>
      </c>
      <c r="O204" s="46"/>
      <c r="P204" s="15">
        <f t="shared" si="27"/>
        <v>0</v>
      </c>
      <c r="Q204" s="16">
        <f t="shared" si="28"/>
        <v>0</v>
      </c>
      <c r="R204" s="16">
        <f t="shared" si="29"/>
        <v>0</v>
      </c>
      <c r="S204" s="43"/>
      <c r="T204" s="23">
        <f t="shared" si="26"/>
        <v>0</v>
      </c>
      <c r="U204" s="43"/>
      <c r="V204" s="28">
        <f t="shared" si="14"/>
        <v>0</v>
      </c>
      <c r="Y204" s="171">
        <f t="shared" si="30"/>
        <v>0</v>
      </c>
      <c r="Z204" s="171">
        <f t="shared" si="31"/>
        <v>0</v>
      </c>
    </row>
    <row r="205" spans="1:26">
      <c r="A205" s="181" t="s">
        <v>202</v>
      </c>
      <c r="B205" s="182" t="s">
        <v>208</v>
      </c>
      <c r="C205" s="321">
        <v>4</v>
      </c>
      <c r="D205" s="183" t="s">
        <v>382</v>
      </c>
      <c r="E205" s="6"/>
      <c r="F205" s="7"/>
      <c r="G205" s="7"/>
      <c r="H205" s="8">
        <v>20</v>
      </c>
      <c r="I205" s="7"/>
      <c r="J205" s="7"/>
      <c r="K205" s="9">
        <v>0</v>
      </c>
      <c r="L205" s="7"/>
      <c r="M205" s="10"/>
      <c r="N205" s="12">
        <f t="shared" si="10"/>
        <v>20</v>
      </c>
      <c r="O205" s="46"/>
      <c r="P205" s="15">
        <f t="shared" si="27"/>
        <v>0</v>
      </c>
      <c r="Q205" s="16">
        <f t="shared" si="28"/>
        <v>0</v>
      </c>
      <c r="R205" s="16">
        <f t="shared" si="29"/>
        <v>0</v>
      </c>
      <c r="S205" s="43"/>
      <c r="T205" s="23">
        <f t="shared" si="26"/>
        <v>0</v>
      </c>
      <c r="U205" s="43"/>
      <c r="V205" s="28">
        <f t="shared" si="14"/>
        <v>0</v>
      </c>
      <c r="Y205" s="171">
        <f t="shared" si="30"/>
        <v>0</v>
      </c>
      <c r="Z205" s="171">
        <f t="shared" si="31"/>
        <v>0</v>
      </c>
    </row>
    <row r="206" spans="1:26">
      <c r="A206" s="181" t="s">
        <v>202</v>
      </c>
      <c r="B206" s="182" t="s">
        <v>205</v>
      </c>
      <c r="C206" s="321">
        <v>5</v>
      </c>
      <c r="D206" s="183" t="s">
        <v>383</v>
      </c>
      <c r="E206" s="6"/>
      <c r="F206" s="7"/>
      <c r="G206" s="7"/>
      <c r="H206" s="8">
        <v>61</v>
      </c>
      <c r="I206" s="7"/>
      <c r="J206" s="7"/>
      <c r="K206" s="9">
        <v>0</v>
      </c>
      <c r="L206" s="7"/>
      <c r="M206" s="10"/>
      <c r="N206" s="12">
        <f t="shared" si="10"/>
        <v>61</v>
      </c>
      <c r="O206" s="46"/>
      <c r="P206" s="15">
        <f t="shared" si="27"/>
        <v>0</v>
      </c>
      <c r="Q206" s="16">
        <f t="shared" si="28"/>
        <v>0</v>
      </c>
      <c r="R206" s="16">
        <f t="shared" si="29"/>
        <v>0</v>
      </c>
      <c r="S206" s="43"/>
      <c r="T206" s="23">
        <f t="shared" si="26"/>
        <v>0</v>
      </c>
      <c r="U206" s="43"/>
      <c r="V206" s="28">
        <f t="shared" si="14"/>
        <v>0</v>
      </c>
      <c r="Y206" s="171">
        <f t="shared" si="30"/>
        <v>0</v>
      </c>
      <c r="Z206" s="171">
        <f t="shared" si="31"/>
        <v>0</v>
      </c>
    </row>
    <row r="207" spans="1:26">
      <c r="A207" s="181" t="s">
        <v>202</v>
      </c>
      <c r="B207" s="182" t="s">
        <v>206</v>
      </c>
      <c r="C207" s="321">
        <v>5</v>
      </c>
      <c r="D207" s="183" t="s">
        <v>383</v>
      </c>
      <c r="E207" s="6"/>
      <c r="F207" s="7"/>
      <c r="G207" s="7"/>
      <c r="H207" s="8">
        <v>30</v>
      </c>
      <c r="I207" s="7"/>
      <c r="J207" s="7"/>
      <c r="K207" s="9">
        <v>0</v>
      </c>
      <c r="L207" s="7"/>
      <c r="M207" s="10"/>
      <c r="N207" s="12">
        <f t="shared" si="10"/>
        <v>30</v>
      </c>
      <c r="O207" s="46"/>
      <c r="P207" s="15">
        <f t="shared" si="27"/>
        <v>0</v>
      </c>
      <c r="Q207" s="16">
        <f t="shared" si="28"/>
        <v>0</v>
      </c>
      <c r="R207" s="16">
        <f t="shared" si="29"/>
        <v>0</v>
      </c>
      <c r="S207" s="43"/>
      <c r="T207" s="23">
        <f t="shared" si="26"/>
        <v>0</v>
      </c>
      <c r="U207" s="43"/>
      <c r="V207" s="28">
        <f t="shared" si="14"/>
        <v>0</v>
      </c>
      <c r="Y207" s="171">
        <f t="shared" si="30"/>
        <v>0</v>
      </c>
      <c r="Z207" s="171">
        <f t="shared" si="31"/>
        <v>0</v>
      </c>
    </row>
    <row r="208" spans="1:26">
      <c r="A208" s="181" t="s">
        <v>202</v>
      </c>
      <c r="B208" s="182" t="s">
        <v>207</v>
      </c>
      <c r="C208" s="321">
        <v>5</v>
      </c>
      <c r="D208" s="183" t="s">
        <v>383</v>
      </c>
      <c r="E208" s="6"/>
      <c r="F208" s="7"/>
      <c r="G208" s="7"/>
      <c r="H208" s="8">
        <v>50</v>
      </c>
      <c r="I208" s="7"/>
      <c r="J208" s="7"/>
      <c r="K208" s="9">
        <v>0</v>
      </c>
      <c r="L208" s="7"/>
      <c r="M208" s="10"/>
      <c r="N208" s="12">
        <f t="shared" si="10"/>
        <v>50</v>
      </c>
      <c r="O208" s="46"/>
      <c r="P208" s="15">
        <f t="shared" si="27"/>
        <v>0</v>
      </c>
      <c r="Q208" s="16">
        <f t="shared" si="28"/>
        <v>0</v>
      </c>
      <c r="R208" s="16">
        <f t="shared" si="29"/>
        <v>0</v>
      </c>
      <c r="S208" s="43"/>
      <c r="T208" s="23">
        <f t="shared" si="26"/>
        <v>0</v>
      </c>
      <c r="U208" s="43"/>
      <c r="V208" s="28">
        <f t="shared" si="14"/>
        <v>0</v>
      </c>
      <c r="Y208" s="171">
        <f t="shared" si="30"/>
        <v>0</v>
      </c>
      <c r="Z208" s="171">
        <f t="shared" si="31"/>
        <v>0</v>
      </c>
    </row>
    <row r="209" spans="1:26">
      <c r="A209" s="181" t="s">
        <v>202</v>
      </c>
      <c r="B209" s="182" t="s">
        <v>208</v>
      </c>
      <c r="C209" s="321">
        <v>5</v>
      </c>
      <c r="D209" s="183" t="s">
        <v>383</v>
      </c>
      <c r="E209" s="6"/>
      <c r="F209" s="7"/>
      <c r="G209" s="7"/>
      <c r="H209" s="8">
        <v>20</v>
      </c>
      <c r="I209" s="7"/>
      <c r="J209" s="7"/>
      <c r="K209" s="9">
        <v>0</v>
      </c>
      <c r="L209" s="7"/>
      <c r="M209" s="10"/>
      <c r="N209" s="12">
        <f t="shared" si="10"/>
        <v>20</v>
      </c>
      <c r="O209" s="46"/>
      <c r="P209" s="15">
        <f t="shared" si="27"/>
        <v>0</v>
      </c>
      <c r="Q209" s="16">
        <f t="shared" si="28"/>
        <v>0</v>
      </c>
      <c r="R209" s="16">
        <f t="shared" si="29"/>
        <v>0</v>
      </c>
      <c r="S209" s="43"/>
      <c r="T209" s="23">
        <f t="shared" ref="T209:T215" si="32">S209*H209</f>
        <v>0</v>
      </c>
      <c r="U209" s="43"/>
      <c r="V209" s="28">
        <f t="shared" si="14"/>
        <v>0</v>
      </c>
      <c r="Y209" s="171">
        <f t="shared" si="30"/>
        <v>0</v>
      </c>
      <c r="Z209" s="171">
        <f t="shared" si="31"/>
        <v>0</v>
      </c>
    </row>
    <row r="210" spans="1:26">
      <c r="A210" s="181" t="s">
        <v>202</v>
      </c>
      <c r="B210" s="182" t="s">
        <v>205</v>
      </c>
      <c r="C210" s="321">
        <v>6</v>
      </c>
      <c r="D210" s="183" t="s">
        <v>384</v>
      </c>
      <c r="E210" s="6"/>
      <c r="F210" s="7"/>
      <c r="G210" s="7"/>
      <c r="H210" s="8">
        <v>52</v>
      </c>
      <c r="I210" s="7"/>
      <c r="J210" s="7"/>
      <c r="K210" s="9">
        <v>0</v>
      </c>
      <c r="L210" s="7"/>
      <c r="M210" s="10"/>
      <c r="N210" s="12">
        <f t="shared" ref="N210:N215" si="33">H210-K210</f>
        <v>52</v>
      </c>
      <c r="O210" s="46"/>
      <c r="P210" s="15">
        <f t="shared" si="27"/>
        <v>0</v>
      </c>
      <c r="Q210" s="16">
        <f t="shared" si="28"/>
        <v>0</v>
      </c>
      <c r="R210" s="16">
        <f t="shared" si="29"/>
        <v>0</v>
      </c>
      <c r="S210" s="43"/>
      <c r="T210" s="23">
        <f t="shared" si="32"/>
        <v>0</v>
      </c>
      <c r="U210" s="43"/>
      <c r="V210" s="28">
        <f t="shared" ref="V210:V215" si="34">H210*U210</f>
        <v>0</v>
      </c>
      <c r="Y210" s="171">
        <f t="shared" si="30"/>
        <v>0</v>
      </c>
      <c r="Z210" s="171">
        <f t="shared" si="31"/>
        <v>0</v>
      </c>
    </row>
    <row r="211" spans="1:26">
      <c r="A211" s="181" t="s">
        <v>202</v>
      </c>
      <c r="B211" s="182" t="s">
        <v>206</v>
      </c>
      <c r="C211" s="321">
        <v>6</v>
      </c>
      <c r="D211" s="183" t="s">
        <v>384</v>
      </c>
      <c r="E211" s="6"/>
      <c r="F211" s="7"/>
      <c r="G211" s="7"/>
      <c r="H211" s="8">
        <v>24</v>
      </c>
      <c r="I211" s="7"/>
      <c r="J211" s="7"/>
      <c r="K211" s="9">
        <v>0</v>
      </c>
      <c r="L211" s="7"/>
      <c r="M211" s="10"/>
      <c r="N211" s="12">
        <f t="shared" si="33"/>
        <v>24</v>
      </c>
      <c r="O211" s="46"/>
      <c r="P211" s="15">
        <f t="shared" si="27"/>
        <v>0</v>
      </c>
      <c r="Q211" s="16">
        <f t="shared" si="28"/>
        <v>0</v>
      </c>
      <c r="R211" s="16">
        <f t="shared" si="29"/>
        <v>0</v>
      </c>
      <c r="S211" s="43"/>
      <c r="T211" s="23">
        <f t="shared" si="32"/>
        <v>0</v>
      </c>
      <c r="U211" s="43"/>
      <c r="V211" s="28">
        <f t="shared" si="34"/>
        <v>0</v>
      </c>
      <c r="Y211" s="171">
        <f t="shared" si="30"/>
        <v>0</v>
      </c>
      <c r="Z211" s="171">
        <f t="shared" si="31"/>
        <v>0</v>
      </c>
    </row>
    <row r="212" spans="1:26">
      <c r="A212" s="181" t="s">
        <v>202</v>
      </c>
      <c r="B212" s="182" t="s">
        <v>209</v>
      </c>
      <c r="C212" s="321">
        <v>6</v>
      </c>
      <c r="D212" s="183" t="s">
        <v>384</v>
      </c>
      <c r="E212" s="6"/>
      <c r="F212" s="7"/>
      <c r="G212" s="7"/>
      <c r="H212" s="8">
        <v>61</v>
      </c>
      <c r="I212" s="7"/>
      <c r="J212" s="7"/>
      <c r="K212" s="9">
        <v>0</v>
      </c>
      <c r="L212" s="7"/>
      <c r="M212" s="10"/>
      <c r="N212" s="12">
        <f t="shared" si="33"/>
        <v>61</v>
      </c>
      <c r="O212" s="46"/>
      <c r="P212" s="15">
        <f>N212*O212</f>
        <v>0</v>
      </c>
      <c r="Q212" s="16">
        <f>J212-O212</f>
        <v>0</v>
      </c>
      <c r="R212" s="16">
        <f>N212*Q212</f>
        <v>0</v>
      </c>
      <c r="S212" s="43"/>
      <c r="T212" s="23">
        <f t="shared" si="32"/>
        <v>0</v>
      </c>
      <c r="U212" s="43"/>
      <c r="V212" s="28">
        <f t="shared" si="34"/>
        <v>0</v>
      </c>
      <c r="Y212" s="171">
        <f>K212*O212</f>
        <v>0</v>
      </c>
      <c r="Z212" s="171">
        <f>K212*Q212</f>
        <v>0</v>
      </c>
    </row>
    <row r="213" spans="1:26">
      <c r="A213" s="181" t="s">
        <v>202</v>
      </c>
      <c r="B213" s="182" t="s">
        <v>210</v>
      </c>
      <c r="C213" s="321">
        <v>6</v>
      </c>
      <c r="D213" s="183" t="s">
        <v>384</v>
      </c>
      <c r="E213" s="6"/>
      <c r="F213" s="7"/>
      <c r="G213" s="7"/>
      <c r="H213" s="8">
        <v>20</v>
      </c>
      <c r="I213" s="7"/>
      <c r="J213" s="7"/>
      <c r="K213" s="9">
        <v>0</v>
      </c>
      <c r="L213" s="7"/>
      <c r="M213" s="10"/>
      <c r="N213" s="12">
        <f t="shared" si="33"/>
        <v>20</v>
      </c>
      <c r="O213" s="46"/>
      <c r="P213" s="15">
        <f>N213*O213</f>
        <v>0</v>
      </c>
      <c r="Q213" s="16">
        <f>J213-O213</f>
        <v>0</v>
      </c>
      <c r="R213" s="16">
        <f>N213*Q213</f>
        <v>0</v>
      </c>
      <c r="S213" s="43"/>
      <c r="T213" s="23">
        <f t="shared" si="32"/>
        <v>0</v>
      </c>
      <c r="U213" s="43"/>
      <c r="V213" s="28">
        <f t="shared" si="34"/>
        <v>0</v>
      </c>
      <c r="Y213" s="171">
        <f>K213*O213</f>
        <v>0</v>
      </c>
      <c r="Z213" s="171">
        <f>K213*Q213</f>
        <v>0</v>
      </c>
    </row>
    <row r="214" spans="1:26">
      <c r="A214" s="181" t="s">
        <v>202</v>
      </c>
      <c r="B214" s="182" t="s">
        <v>207</v>
      </c>
      <c r="C214" s="321">
        <v>6</v>
      </c>
      <c r="D214" s="183" t="s">
        <v>384</v>
      </c>
      <c r="E214" s="6"/>
      <c r="F214" s="7"/>
      <c r="G214" s="7"/>
      <c r="H214" s="8">
        <v>43</v>
      </c>
      <c r="I214" s="7"/>
      <c r="J214" s="7"/>
      <c r="K214" s="9">
        <v>0</v>
      </c>
      <c r="L214" s="7"/>
      <c r="M214" s="10"/>
      <c r="N214" s="12">
        <f t="shared" si="33"/>
        <v>43</v>
      </c>
      <c r="O214" s="46"/>
      <c r="P214" s="15">
        <f t="shared" si="27"/>
        <v>0</v>
      </c>
      <c r="Q214" s="16">
        <f t="shared" si="28"/>
        <v>0</v>
      </c>
      <c r="R214" s="16">
        <f t="shared" si="29"/>
        <v>0</v>
      </c>
      <c r="S214" s="43"/>
      <c r="T214" s="23">
        <f t="shared" si="32"/>
        <v>0</v>
      </c>
      <c r="U214" s="43"/>
      <c r="V214" s="28">
        <f t="shared" si="34"/>
        <v>0</v>
      </c>
      <c r="Y214" s="171">
        <f t="shared" si="30"/>
        <v>0</v>
      </c>
      <c r="Z214" s="171">
        <f t="shared" si="31"/>
        <v>0</v>
      </c>
    </row>
    <row r="215" spans="1:26" ht="14.4" thickBot="1">
      <c r="A215" s="181" t="s">
        <v>202</v>
      </c>
      <c r="B215" s="182" t="s">
        <v>208</v>
      </c>
      <c r="C215" s="321">
        <v>6</v>
      </c>
      <c r="D215" s="183" t="s">
        <v>384</v>
      </c>
      <c r="E215" s="6"/>
      <c r="F215" s="7"/>
      <c r="G215" s="7"/>
      <c r="H215" s="8">
        <v>20</v>
      </c>
      <c r="I215" s="7"/>
      <c r="J215" s="7"/>
      <c r="K215" s="9">
        <v>0</v>
      </c>
      <c r="L215" s="7"/>
      <c r="M215" s="10"/>
      <c r="N215" s="12">
        <f t="shared" si="33"/>
        <v>20</v>
      </c>
      <c r="O215" s="47"/>
      <c r="P215" s="17">
        <f t="shared" si="27"/>
        <v>0</v>
      </c>
      <c r="Q215" s="18">
        <f t="shared" si="28"/>
        <v>0</v>
      </c>
      <c r="R215" s="18">
        <f t="shared" si="29"/>
        <v>0</v>
      </c>
      <c r="S215" s="44"/>
      <c r="T215" s="24">
        <f t="shared" si="32"/>
        <v>0</v>
      </c>
      <c r="U215" s="44"/>
      <c r="V215" s="29">
        <f t="shared" si="34"/>
        <v>0</v>
      </c>
      <c r="Y215" s="171">
        <f t="shared" si="30"/>
        <v>0</v>
      </c>
      <c r="Z215" s="171">
        <f t="shared" si="31"/>
        <v>0</v>
      </c>
    </row>
    <row r="216" spans="1:26" ht="70.3" customHeight="1" thickTop="1" thickBot="1">
      <c r="A216" s="177"/>
      <c r="B216" s="178"/>
      <c r="C216" s="319"/>
      <c r="D216" s="179"/>
      <c r="E216" s="184"/>
      <c r="F216" s="185"/>
      <c r="G216" s="186"/>
      <c r="H216" s="187" t="s">
        <v>9</v>
      </c>
      <c r="I216" s="188">
        <f>SUM(I5:I215)</f>
        <v>0</v>
      </c>
      <c r="J216" s="189"/>
      <c r="K216" s="190" t="s">
        <v>10</v>
      </c>
      <c r="L216" s="191">
        <f>SUM(L5:L215)</f>
        <v>0</v>
      </c>
      <c r="M216" s="192"/>
      <c r="N216" s="193"/>
      <c r="O216" s="30" t="s">
        <v>18</v>
      </c>
      <c r="P216" s="19">
        <f>SUM(P5:P215)</f>
        <v>0</v>
      </c>
      <c r="Q216" s="20" t="s">
        <v>61</v>
      </c>
      <c r="R216" s="21">
        <f>SUM(R5:R215)</f>
        <v>0</v>
      </c>
      <c r="S216" s="31" t="s">
        <v>63</v>
      </c>
      <c r="T216" s="25">
        <f>SUM(T5:T215)</f>
        <v>0</v>
      </c>
      <c r="U216" s="31" t="s">
        <v>64</v>
      </c>
      <c r="V216" s="25">
        <f>SUM(V5:V215)</f>
        <v>0</v>
      </c>
    </row>
    <row r="217" spans="1:26" ht="28.2" customHeight="1">
      <c r="E217" s="215"/>
      <c r="H217" s="481" t="s">
        <v>77</v>
      </c>
      <c r="I217" s="481"/>
      <c r="K217" s="482" t="s">
        <v>79</v>
      </c>
      <c r="L217" s="411"/>
      <c r="M217" s="215"/>
      <c r="Q217" s="196" t="s">
        <v>19</v>
      </c>
      <c r="R217" s="126">
        <f>R216+T216+V216-R218</f>
        <v>0</v>
      </c>
    </row>
    <row r="218" spans="1:26" ht="25.55" customHeight="1">
      <c r="E218" s="461" t="s">
        <v>256</v>
      </c>
      <c r="F218" s="461"/>
      <c r="G218" s="461"/>
      <c r="H218" s="461"/>
      <c r="I218" s="461"/>
      <c r="J218" s="461"/>
      <c r="K218" s="461"/>
      <c r="L218" s="461"/>
      <c r="M218" s="461"/>
      <c r="Q218" s="197" t="s">
        <v>20</v>
      </c>
      <c r="R218" s="127">
        <f>SUM(R199,R193:R194,R188,R182:R183,R177,R171:R172,R161:R162,R156,R149,R140,R134:R135,R127,R121:R122,R114,R108:R109,R101,R95:R96,R90,R83,R72,R66:R67,R57,R51:R52,R42,R36:R37,R29,R24,R23,R18,R11)</f>
        <v>0</v>
      </c>
    </row>
    <row r="219" spans="1:26" ht="11.75" customHeight="1">
      <c r="R219" s="198"/>
    </row>
    <row r="220" spans="1:26" ht="24.3" customHeight="1"/>
    <row r="221" spans="1:26" ht="36" customHeight="1">
      <c r="E221" s="475" t="s">
        <v>66</v>
      </c>
      <c r="F221" s="477" t="s">
        <v>65</v>
      </c>
      <c r="G221" s="459" t="s">
        <v>85</v>
      </c>
      <c r="H221" s="460"/>
      <c r="I221" s="468" t="s">
        <v>110</v>
      </c>
      <c r="J221" s="472" t="s">
        <v>305</v>
      </c>
      <c r="K221" s="473"/>
      <c r="L221" s="470" t="s">
        <v>73</v>
      </c>
      <c r="M221" s="474" t="s">
        <v>88</v>
      </c>
      <c r="N221" s="474"/>
      <c r="O221" s="474"/>
    </row>
    <row r="222" spans="1:26" ht="15.05" customHeight="1">
      <c r="E222" s="476"/>
      <c r="F222" s="478"/>
      <c r="G222" s="53" t="s">
        <v>78</v>
      </c>
      <c r="H222" s="61" t="s">
        <v>72</v>
      </c>
      <c r="I222" s="469"/>
      <c r="J222" s="54" t="s">
        <v>78</v>
      </c>
      <c r="K222" s="199" t="s">
        <v>87</v>
      </c>
      <c r="L222" s="471"/>
      <c r="M222" s="50" t="s">
        <v>86</v>
      </c>
      <c r="N222" s="51" t="s">
        <v>108</v>
      </c>
      <c r="O222" s="57" t="s">
        <v>109</v>
      </c>
    </row>
    <row r="223" spans="1:26" ht="15.05" customHeight="1">
      <c r="E223" s="119" t="s">
        <v>212</v>
      </c>
      <c r="F223" s="120" t="s">
        <v>57</v>
      </c>
      <c r="G223" s="121">
        <f>SUM(Y5:Y76)</f>
        <v>0</v>
      </c>
      <c r="H223" s="122">
        <f>SUM(P5:P76)</f>
        <v>0</v>
      </c>
      <c r="I223" s="123">
        <f>G223+H223</f>
        <v>0</v>
      </c>
      <c r="J223" s="121">
        <f>SUM(Z5:Z76)</f>
        <v>0</v>
      </c>
      <c r="K223" s="200">
        <f>SUM(M223:O223)</f>
        <v>0</v>
      </c>
      <c r="L223" s="124">
        <f>K223+J223</f>
        <v>0</v>
      </c>
      <c r="M223" s="125">
        <f>SUM(R5:R76)</f>
        <v>0</v>
      </c>
      <c r="N223" s="121">
        <f>SUM(T5:T76)</f>
        <v>0</v>
      </c>
      <c r="O223" s="121">
        <f>SUM(V5:V76)</f>
        <v>0</v>
      </c>
    </row>
    <row r="224" spans="1:26" ht="15.05" customHeight="1">
      <c r="E224" s="113" t="s">
        <v>213</v>
      </c>
      <c r="F224" s="114" t="s">
        <v>58</v>
      </c>
      <c r="G224" s="115">
        <f>SUM(Y77:Y142)</f>
        <v>0</v>
      </c>
      <c r="H224" s="116">
        <f>SUM(P77:P142)</f>
        <v>0</v>
      </c>
      <c r="I224" s="117">
        <f>G224+H224</f>
        <v>0</v>
      </c>
      <c r="J224" s="115">
        <f>SUM(Z77:Z142)</f>
        <v>0</v>
      </c>
      <c r="K224" s="201">
        <f>SUM(M224:O224)</f>
        <v>0</v>
      </c>
      <c r="L224" s="124">
        <f>K224+J224</f>
        <v>0</v>
      </c>
      <c r="M224" s="118">
        <f>SUM(R77:R142)</f>
        <v>0</v>
      </c>
      <c r="N224" s="115">
        <f>SUM(T77:T142)</f>
        <v>0</v>
      </c>
      <c r="O224" s="115">
        <f>SUM(V77:V142)</f>
        <v>0</v>
      </c>
    </row>
    <row r="225" spans="5:15" ht="15.05" customHeight="1">
      <c r="E225" s="34" t="s">
        <v>214</v>
      </c>
      <c r="F225" s="35" t="s">
        <v>59</v>
      </c>
      <c r="G225" s="38">
        <f>SUM(Y143:Y199)</f>
        <v>0</v>
      </c>
      <c r="H225" s="36">
        <f>SUM(P143:P199)</f>
        <v>0</v>
      </c>
      <c r="I225" s="112">
        <f>G225+H225</f>
        <v>0</v>
      </c>
      <c r="J225" s="38">
        <f>SUM(Z143:Z199)</f>
        <v>0</v>
      </c>
      <c r="K225" s="202">
        <f>SUM(M225:O225)</f>
        <v>0</v>
      </c>
      <c r="L225" s="124">
        <f>K225+J225</f>
        <v>0</v>
      </c>
      <c r="M225" s="37">
        <f>SUM(R143:R199)</f>
        <v>0</v>
      </c>
      <c r="N225" s="38">
        <f>SUM(T143:T199)</f>
        <v>0</v>
      </c>
      <c r="O225" s="38">
        <f>SUM(V143:V199)</f>
        <v>0</v>
      </c>
    </row>
    <row r="226" spans="5:15" ht="15.05" customHeight="1">
      <c r="E226" s="39" t="s">
        <v>215</v>
      </c>
      <c r="F226" s="40" t="s">
        <v>211</v>
      </c>
      <c r="G226" s="55">
        <f>SUM(Y200:Y215)</f>
        <v>0</v>
      </c>
      <c r="H226" s="56">
        <f>SUM(P200:P215)</f>
        <v>0</v>
      </c>
      <c r="I226" s="64">
        <f>G226+H226</f>
        <v>0</v>
      </c>
      <c r="J226" s="55">
        <f>SUM(Z200:Z215)</f>
        <v>0</v>
      </c>
      <c r="K226" s="203">
        <f>SUM(M226:O226)</f>
        <v>0</v>
      </c>
      <c r="L226" s="124">
        <f>K226+J226</f>
        <v>0</v>
      </c>
      <c r="M226" s="41">
        <f>SUM(R200:R215)</f>
        <v>0</v>
      </c>
      <c r="N226" s="55">
        <f>SUM(T200:T215)</f>
        <v>0</v>
      </c>
      <c r="O226" s="55">
        <f>SUM(V200:V215)</f>
        <v>0</v>
      </c>
    </row>
    <row r="227" spans="5:15" ht="29" customHeight="1">
      <c r="E227" s="48"/>
      <c r="F227" s="32" t="s">
        <v>67</v>
      </c>
      <c r="G227" s="33">
        <f t="shared" ref="G227:O227" si="35">SUM(G223:G226)</f>
        <v>0</v>
      </c>
      <c r="H227" s="33">
        <f t="shared" si="35"/>
        <v>0</v>
      </c>
      <c r="I227" s="63">
        <f t="shared" si="35"/>
        <v>0</v>
      </c>
      <c r="J227" s="33">
        <f t="shared" si="35"/>
        <v>0</v>
      </c>
      <c r="K227" s="33">
        <f t="shared" si="35"/>
        <v>0</v>
      </c>
      <c r="L227" s="62">
        <f t="shared" si="35"/>
        <v>0</v>
      </c>
      <c r="M227" s="52">
        <f t="shared" si="35"/>
        <v>0</v>
      </c>
      <c r="N227" s="49">
        <f t="shared" si="35"/>
        <v>0</v>
      </c>
      <c r="O227" s="33">
        <f t="shared" si="35"/>
        <v>0</v>
      </c>
    </row>
  </sheetData>
  <sheetProtection formatCells="0" formatColumns="0" formatRows="0" insertColumns="0" insertRows="0" insertHyperlinks="0" deleteColumns="0" deleteRows="0" selectLockedCells="1" sort="0" autoFilter="0" pivotTables="0"/>
  <autoFilter ref="J4:J215"/>
  <mergeCells count="17">
    <mergeCell ref="S1:V1"/>
    <mergeCell ref="H217:I217"/>
    <mergeCell ref="K217:L217"/>
    <mergeCell ref="J1:L1"/>
    <mergeCell ref="O1:P1"/>
    <mergeCell ref="Q1:R1"/>
    <mergeCell ref="E1:I1"/>
    <mergeCell ref="G221:H221"/>
    <mergeCell ref="E218:M218"/>
    <mergeCell ref="A2:B3"/>
    <mergeCell ref="A1:B1"/>
    <mergeCell ref="I221:I222"/>
    <mergeCell ref="L221:L222"/>
    <mergeCell ref="J221:K221"/>
    <mergeCell ref="M221:O221"/>
    <mergeCell ref="E221:E222"/>
    <mergeCell ref="F221:F222"/>
  </mergeCells>
  <phoneticPr fontId="1" type="noConversion"/>
  <printOptions horizontalCentered="1"/>
  <pageMargins left="0.31496062992125984" right="0.31496062992125984" top="0.59055118110236227" bottom="0.70866141732283472" header="0.59055118110236227" footer="0.39370078740157483"/>
  <pageSetup paperSize="9" scale="80" orientation="portrait" r:id="rId1"/>
  <headerFooter scaleWithDoc="0" alignWithMargins="0">
    <oddFooter xml:space="preserve">&amp;L&amp;"細明體,標準"　　　承辦
　　　科室&amp;C&amp;"細明體,標準"主(會)計　　　　　　　　　　機關
單位　　　　　　　　　　　　首長&amp;R&amp;"細明體,標準"第&amp;P頁，共&amp;N頁
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O11"/>
  <sheetViews>
    <sheetView zoomScale="80" zoomScaleNormal="8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A5" sqref="A5"/>
    </sheetView>
  </sheetViews>
  <sheetFormatPr defaultRowHeight="13.8"/>
  <cols>
    <col min="137" max="138" width="9.125" style="206"/>
  </cols>
  <sheetData>
    <row r="1" spans="1:145" ht="48.85">
      <c r="A1" s="286" t="s">
        <v>371</v>
      </c>
      <c r="B1" s="287" t="s">
        <v>310</v>
      </c>
      <c r="C1" s="287" t="s">
        <v>310</v>
      </c>
      <c r="D1" s="287" t="s">
        <v>312</v>
      </c>
      <c r="E1" s="287" t="s">
        <v>312</v>
      </c>
      <c r="F1" s="287" t="s">
        <v>313</v>
      </c>
      <c r="G1" s="287" t="s">
        <v>313</v>
      </c>
      <c r="H1" s="287" t="s">
        <v>314</v>
      </c>
      <c r="I1" s="286" t="s">
        <v>310</v>
      </c>
      <c r="J1" s="286" t="s">
        <v>310</v>
      </c>
      <c r="K1" s="286" t="s">
        <v>312</v>
      </c>
      <c r="L1" s="286" t="s">
        <v>312</v>
      </c>
      <c r="M1" s="286" t="s">
        <v>313</v>
      </c>
      <c r="N1" s="286" t="s">
        <v>313</v>
      </c>
      <c r="O1" s="286" t="s">
        <v>314</v>
      </c>
      <c r="P1" s="287" t="s">
        <v>315</v>
      </c>
      <c r="Q1" s="287" t="s">
        <v>315</v>
      </c>
      <c r="R1" s="287" t="s">
        <v>316</v>
      </c>
      <c r="S1" s="287" t="s">
        <v>310</v>
      </c>
      <c r="T1" s="287" t="s">
        <v>310</v>
      </c>
      <c r="U1" s="287" t="s">
        <v>312</v>
      </c>
      <c r="V1" s="287" t="s">
        <v>312</v>
      </c>
      <c r="W1" s="287" t="s">
        <v>317</v>
      </c>
      <c r="X1" s="287" t="s">
        <v>317</v>
      </c>
      <c r="Y1" s="287" t="s">
        <v>314</v>
      </c>
      <c r="Z1" s="287" t="s">
        <v>318</v>
      </c>
      <c r="AA1" s="286" t="s">
        <v>310</v>
      </c>
      <c r="AB1" s="286" t="s">
        <v>310</v>
      </c>
      <c r="AC1" s="286" t="s">
        <v>312</v>
      </c>
      <c r="AD1" s="286" t="s">
        <v>312</v>
      </c>
      <c r="AE1" s="286" t="s">
        <v>321</v>
      </c>
      <c r="AF1" s="286" t="s">
        <v>321</v>
      </c>
      <c r="AG1" s="286" t="s">
        <v>317</v>
      </c>
      <c r="AH1" s="286" t="s">
        <v>317</v>
      </c>
      <c r="AI1" s="286" t="s">
        <v>322</v>
      </c>
      <c r="AJ1" s="286" t="s">
        <v>322</v>
      </c>
      <c r="AK1" s="286" t="s">
        <v>314</v>
      </c>
      <c r="AL1" s="286" t="s">
        <v>316</v>
      </c>
      <c r="AM1" s="286" t="s">
        <v>323</v>
      </c>
      <c r="AN1" s="287" t="s">
        <v>310</v>
      </c>
      <c r="AO1" s="287" t="s">
        <v>310</v>
      </c>
      <c r="AP1" s="287" t="s">
        <v>312</v>
      </c>
      <c r="AQ1" s="287" t="s">
        <v>312</v>
      </c>
      <c r="AR1" s="287" t="s">
        <v>321</v>
      </c>
      <c r="AS1" s="287" t="s">
        <v>321</v>
      </c>
      <c r="AT1" s="287" t="s">
        <v>317</v>
      </c>
      <c r="AU1" s="287" t="s">
        <v>317</v>
      </c>
      <c r="AV1" s="287" t="s">
        <v>325</v>
      </c>
      <c r="AW1" s="287" t="s">
        <v>325</v>
      </c>
      <c r="AX1" s="287" t="s">
        <v>322</v>
      </c>
      <c r="AY1" s="287" t="s">
        <v>322</v>
      </c>
      <c r="AZ1" s="287" t="s">
        <v>314</v>
      </c>
      <c r="BA1" s="287" t="s">
        <v>316</v>
      </c>
      <c r="BB1" s="287" t="s">
        <v>323</v>
      </c>
      <c r="BC1" s="286" t="s">
        <v>310</v>
      </c>
      <c r="BD1" s="286" t="s">
        <v>310</v>
      </c>
      <c r="BE1" s="286" t="s">
        <v>312</v>
      </c>
      <c r="BF1" s="286" t="s">
        <v>312</v>
      </c>
      <c r="BG1" s="286" t="s">
        <v>321</v>
      </c>
      <c r="BH1" s="286" t="s">
        <v>321</v>
      </c>
      <c r="BI1" s="286" t="s">
        <v>317</v>
      </c>
      <c r="BJ1" s="286" t="s">
        <v>317</v>
      </c>
      <c r="BK1" s="286" t="s">
        <v>322</v>
      </c>
      <c r="BL1" s="286" t="s">
        <v>322</v>
      </c>
      <c r="BM1" s="286" t="s">
        <v>314</v>
      </c>
      <c r="BN1" s="288" t="s">
        <v>316</v>
      </c>
      <c r="BO1" s="266" t="s">
        <v>323</v>
      </c>
      <c r="BP1" s="287" t="s">
        <v>310</v>
      </c>
      <c r="BQ1" s="287" t="s">
        <v>310</v>
      </c>
      <c r="BR1" s="287" t="s">
        <v>312</v>
      </c>
      <c r="BS1" s="287" t="s">
        <v>312</v>
      </c>
      <c r="BT1" s="287" t="s">
        <v>313</v>
      </c>
      <c r="BU1" s="287" t="s">
        <v>313</v>
      </c>
      <c r="BV1" s="287" t="s">
        <v>314</v>
      </c>
      <c r="BW1" s="286" t="s">
        <v>310</v>
      </c>
      <c r="BX1" s="286" t="s">
        <v>310</v>
      </c>
      <c r="BY1" s="286" t="s">
        <v>312</v>
      </c>
      <c r="BZ1" s="286" t="s">
        <v>312</v>
      </c>
      <c r="CA1" s="286" t="s">
        <v>313</v>
      </c>
      <c r="CB1" s="286" t="s">
        <v>313</v>
      </c>
      <c r="CC1" s="286" t="s">
        <v>314</v>
      </c>
      <c r="CD1" s="287" t="s">
        <v>315</v>
      </c>
      <c r="CE1" s="287" t="s">
        <v>315</v>
      </c>
      <c r="CF1" s="287" t="s">
        <v>316</v>
      </c>
      <c r="CG1" s="287" t="s">
        <v>310</v>
      </c>
      <c r="CH1" s="287" t="s">
        <v>310</v>
      </c>
      <c r="CI1" s="287" t="s">
        <v>312</v>
      </c>
      <c r="CJ1" s="287" t="s">
        <v>312</v>
      </c>
      <c r="CK1" s="287" t="s">
        <v>317</v>
      </c>
      <c r="CL1" s="287" t="s">
        <v>317</v>
      </c>
      <c r="CM1" s="287" t="s">
        <v>314</v>
      </c>
      <c r="CN1" s="287" t="s">
        <v>318</v>
      </c>
      <c r="CO1" s="286" t="s">
        <v>310</v>
      </c>
      <c r="CP1" s="286" t="s">
        <v>310</v>
      </c>
      <c r="CQ1" s="286" t="s">
        <v>312</v>
      </c>
      <c r="CR1" s="286" t="s">
        <v>312</v>
      </c>
      <c r="CS1" s="286" t="s">
        <v>317</v>
      </c>
      <c r="CT1" s="286" t="s">
        <v>317</v>
      </c>
      <c r="CU1" s="286" t="s">
        <v>322</v>
      </c>
      <c r="CV1" s="286" t="s">
        <v>322</v>
      </c>
      <c r="CW1" s="286" t="s">
        <v>314</v>
      </c>
      <c r="CX1" s="286" t="s">
        <v>316</v>
      </c>
      <c r="CY1" s="286" t="s">
        <v>323</v>
      </c>
      <c r="CZ1" s="287" t="s">
        <v>310</v>
      </c>
      <c r="DA1" s="287" t="s">
        <v>310</v>
      </c>
      <c r="DB1" s="287" t="s">
        <v>312</v>
      </c>
      <c r="DC1" s="287" t="s">
        <v>312</v>
      </c>
      <c r="DD1" s="287" t="s">
        <v>317</v>
      </c>
      <c r="DE1" s="287" t="s">
        <v>317</v>
      </c>
      <c r="DF1" s="287" t="s">
        <v>322</v>
      </c>
      <c r="DG1" s="287" t="s">
        <v>322</v>
      </c>
      <c r="DH1" s="287" t="s">
        <v>314</v>
      </c>
      <c r="DI1" s="287" t="s">
        <v>316</v>
      </c>
      <c r="DJ1" s="287" t="s">
        <v>323</v>
      </c>
      <c r="DK1" s="286" t="s">
        <v>310</v>
      </c>
      <c r="DL1" s="286" t="s">
        <v>310</v>
      </c>
      <c r="DM1" s="286" t="s">
        <v>312</v>
      </c>
      <c r="DN1" s="286" t="s">
        <v>312</v>
      </c>
      <c r="DO1" s="286" t="s">
        <v>317</v>
      </c>
      <c r="DP1" s="286" t="s">
        <v>317</v>
      </c>
      <c r="DQ1" s="286" t="s">
        <v>322</v>
      </c>
      <c r="DR1" s="286" t="s">
        <v>322</v>
      </c>
      <c r="DS1" s="286" t="s">
        <v>314</v>
      </c>
      <c r="DT1" s="288" t="s">
        <v>316</v>
      </c>
      <c r="DU1" s="266" t="s">
        <v>323</v>
      </c>
      <c r="DV1" s="69"/>
      <c r="DW1" s="265"/>
      <c r="DX1" s="265" t="s">
        <v>319</v>
      </c>
      <c r="DY1" s="265" t="s">
        <v>319</v>
      </c>
      <c r="DZ1" s="265"/>
      <c r="EA1" s="265"/>
      <c r="EB1" s="279"/>
      <c r="EC1" s="280" t="s">
        <v>319</v>
      </c>
      <c r="ED1" s="266" t="s">
        <v>319</v>
      </c>
      <c r="EE1" s="265" t="s">
        <v>319</v>
      </c>
      <c r="EF1" s="265" t="s">
        <v>319</v>
      </c>
      <c r="EG1" s="266"/>
      <c r="EH1" s="266"/>
      <c r="EI1" s="265"/>
      <c r="EJ1" s="265"/>
      <c r="EK1" s="279"/>
      <c r="EL1" s="283" t="s">
        <v>319</v>
      </c>
      <c r="EM1" s="266" t="s">
        <v>319</v>
      </c>
      <c r="EN1" s="284"/>
      <c r="EO1" s="284"/>
    </row>
    <row r="2" spans="1:145" ht="32.6">
      <c r="A2" s="289" t="s">
        <v>372</v>
      </c>
      <c r="B2" s="290">
        <v>1</v>
      </c>
      <c r="C2" s="290">
        <v>1</v>
      </c>
      <c r="D2" s="290">
        <v>1</v>
      </c>
      <c r="E2" s="290">
        <v>1</v>
      </c>
      <c r="F2" s="290">
        <v>1</v>
      </c>
      <c r="G2" s="290">
        <v>1</v>
      </c>
      <c r="H2" s="290">
        <v>1</v>
      </c>
      <c r="I2" s="291">
        <v>2</v>
      </c>
      <c r="J2" s="291">
        <v>2</v>
      </c>
      <c r="K2" s="291">
        <v>2</v>
      </c>
      <c r="L2" s="291">
        <v>2</v>
      </c>
      <c r="M2" s="291">
        <v>2</v>
      </c>
      <c r="N2" s="291">
        <v>2</v>
      </c>
      <c r="O2" s="291">
        <v>2</v>
      </c>
      <c r="P2" s="290">
        <v>3</v>
      </c>
      <c r="Q2" s="290">
        <v>3</v>
      </c>
      <c r="R2" s="290">
        <v>3</v>
      </c>
      <c r="S2" s="290">
        <v>3</v>
      </c>
      <c r="T2" s="290">
        <v>3</v>
      </c>
      <c r="U2" s="290">
        <v>3</v>
      </c>
      <c r="V2" s="290">
        <v>3</v>
      </c>
      <c r="W2" s="290">
        <v>3</v>
      </c>
      <c r="X2" s="290">
        <v>3</v>
      </c>
      <c r="Y2" s="290">
        <v>3</v>
      </c>
      <c r="Z2" s="290">
        <v>3</v>
      </c>
      <c r="AA2" s="291">
        <v>4</v>
      </c>
      <c r="AB2" s="291">
        <v>4</v>
      </c>
      <c r="AC2" s="291">
        <v>4</v>
      </c>
      <c r="AD2" s="291">
        <v>4</v>
      </c>
      <c r="AE2" s="291">
        <v>4</v>
      </c>
      <c r="AF2" s="291">
        <v>4</v>
      </c>
      <c r="AG2" s="291">
        <v>4</v>
      </c>
      <c r="AH2" s="291">
        <v>4</v>
      </c>
      <c r="AI2" s="291">
        <v>4</v>
      </c>
      <c r="AJ2" s="291">
        <v>4</v>
      </c>
      <c r="AK2" s="291">
        <v>4</v>
      </c>
      <c r="AL2" s="291">
        <v>4</v>
      </c>
      <c r="AM2" s="291">
        <v>4</v>
      </c>
      <c r="AN2" s="290">
        <v>5</v>
      </c>
      <c r="AO2" s="290">
        <v>5</v>
      </c>
      <c r="AP2" s="290">
        <v>5</v>
      </c>
      <c r="AQ2" s="290">
        <v>5</v>
      </c>
      <c r="AR2" s="290">
        <v>5</v>
      </c>
      <c r="AS2" s="290">
        <v>5</v>
      </c>
      <c r="AT2" s="290">
        <v>5</v>
      </c>
      <c r="AU2" s="290">
        <v>5</v>
      </c>
      <c r="AV2" s="290">
        <v>5</v>
      </c>
      <c r="AW2" s="290">
        <v>5</v>
      </c>
      <c r="AX2" s="290">
        <v>5</v>
      </c>
      <c r="AY2" s="290">
        <v>5</v>
      </c>
      <c r="AZ2" s="290">
        <v>5</v>
      </c>
      <c r="BA2" s="290">
        <v>5</v>
      </c>
      <c r="BB2" s="290">
        <v>5</v>
      </c>
      <c r="BC2" s="291">
        <v>6</v>
      </c>
      <c r="BD2" s="291">
        <v>6</v>
      </c>
      <c r="BE2" s="291">
        <v>6</v>
      </c>
      <c r="BF2" s="291">
        <v>6</v>
      </c>
      <c r="BG2" s="291">
        <v>6</v>
      </c>
      <c r="BH2" s="291">
        <v>6</v>
      </c>
      <c r="BI2" s="291">
        <v>6</v>
      </c>
      <c r="BJ2" s="291">
        <v>6</v>
      </c>
      <c r="BK2" s="291">
        <v>6</v>
      </c>
      <c r="BL2" s="291">
        <v>6</v>
      </c>
      <c r="BM2" s="291">
        <v>6</v>
      </c>
      <c r="BN2" s="292">
        <v>6</v>
      </c>
      <c r="BO2" s="268">
        <v>6</v>
      </c>
      <c r="BP2" s="290">
        <v>1</v>
      </c>
      <c r="BQ2" s="290">
        <v>1</v>
      </c>
      <c r="BR2" s="290">
        <v>1</v>
      </c>
      <c r="BS2" s="290">
        <v>1</v>
      </c>
      <c r="BT2" s="290">
        <v>1</v>
      </c>
      <c r="BU2" s="290">
        <v>1</v>
      </c>
      <c r="BV2" s="290">
        <v>1</v>
      </c>
      <c r="BW2" s="291">
        <v>2</v>
      </c>
      <c r="BX2" s="291">
        <v>2</v>
      </c>
      <c r="BY2" s="291">
        <v>2</v>
      </c>
      <c r="BZ2" s="291">
        <v>2</v>
      </c>
      <c r="CA2" s="291">
        <v>2</v>
      </c>
      <c r="CB2" s="291">
        <v>2</v>
      </c>
      <c r="CC2" s="291">
        <v>2</v>
      </c>
      <c r="CD2" s="290">
        <v>3</v>
      </c>
      <c r="CE2" s="290">
        <v>3</v>
      </c>
      <c r="CF2" s="290">
        <v>3</v>
      </c>
      <c r="CG2" s="290">
        <v>3</v>
      </c>
      <c r="CH2" s="290">
        <v>3</v>
      </c>
      <c r="CI2" s="290">
        <v>3</v>
      </c>
      <c r="CJ2" s="290">
        <v>3</v>
      </c>
      <c r="CK2" s="290">
        <v>3</v>
      </c>
      <c r="CL2" s="290">
        <v>3</v>
      </c>
      <c r="CM2" s="290">
        <v>3</v>
      </c>
      <c r="CN2" s="290">
        <v>3</v>
      </c>
      <c r="CO2" s="291">
        <v>4</v>
      </c>
      <c r="CP2" s="291">
        <v>4</v>
      </c>
      <c r="CQ2" s="291">
        <v>4</v>
      </c>
      <c r="CR2" s="291">
        <v>4</v>
      </c>
      <c r="CS2" s="291">
        <v>4</v>
      </c>
      <c r="CT2" s="291">
        <v>4</v>
      </c>
      <c r="CU2" s="291">
        <v>4</v>
      </c>
      <c r="CV2" s="291">
        <v>4</v>
      </c>
      <c r="CW2" s="291">
        <v>4</v>
      </c>
      <c r="CX2" s="291">
        <v>4</v>
      </c>
      <c r="CY2" s="291">
        <v>4</v>
      </c>
      <c r="CZ2" s="290">
        <v>5</v>
      </c>
      <c r="DA2" s="290">
        <v>5</v>
      </c>
      <c r="DB2" s="290">
        <v>5</v>
      </c>
      <c r="DC2" s="290">
        <v>5</v>
      </c>
      <c r="DD2" s="290">
        <v>5</v>
      </c>
      <c r="DE2" s="290">
        <v>5</v>
      </c>
      <c r="DF2" s="290">
        <v>5</v>
      </c>
      <c r="DG2" s="290">
        <v>5</v>
      </c>
      <c r="DH2" s="290">
        <v>5</v>
      </c>
      <c r="DI2" s="290">
        <v>5</v>
      </c>
      <c r="DJ2" s="290">
        <v>5</v>
      </c>
      <c r="DK2" s="291">
        <v>6</v>
      </c>
      <c r="DL2" s="291">
        <v>6</v>
      </c>
      <c r="DM2" s="291">
        <v>6</v>
      </c>
      <c r="DN2" s="291">
        <v>6</v>
      </c>
      <c r="DO2" s="291">
        <v>6</v>
      </c>
      <c r="DP2" s="291">
        <v>6</v>
      </c>
      <c r="DQ2" s="291">
        <v>6</v>
      </c>
      <c r="DR2" s="291">
        <v>6</v>
      </c>
      <c r="DS2" s="291">
        <v>6</v>
      </c>
      <c r="DT2" s="292">
        <v>6</v>
      </c>
      <c r="DU2" s="268">
        <v>6</v>
      </c>
      <c r="DV2" s="70"/>
      <c r="DW2" s="267"/>
      <c r="DX2" s="267">
        <v>3</v>
      </c>
      <c r="DY2" s="267">
        <v>3</v>
      </c>
      <c r="DZ2" s="267">
        <v>3</v>
      </c>
      <c r="EA2" s="267">
        <v>3</v>
      </c>
      <c r="EB2" s="278"/>
      <c r="EC2" s="281">
        <v>4</v>
      </c>
      <c r="ED2" s="268">
        <v>4</v>
      </c>
      <c r="EE2" s="267">
        <v>5</v>
      </c>
      <c r="EF2" s="267">
        <v>5</v>
      </c>
      <c r="EG2" s="268">
        <v>4</v>
      </c>
      <c r="EH2" s="268">
        <v>4</v>
      </c>
      <c r="EI2" s="267">
        <v>5</v>
      </c>
      <c r="EJ2" s="267">
        <v>5</v>
      </c>
      <c r="EK2" s="278"/>
      <c r="EL2" s="285">
        <v>6</v>
      </c>
      <c r="EM2" s="268">
        <v>6</v>
      </c>
      <c r="EN2" s="266">
        <v>6</v>
      </c>
      <c r="EO2" s="266">
        <v>6</v>
      </c>
    </row>
    <row r="3" spans="1:145" ht="16.3">
      <c r="A3" s="286" t="s">
        <v>308</v>
      </c>
      <c r="B3" s="287" t="s">
        <v>225</v>
      </c>
      <c r="C3" s="287" t="s">
        <v>226</v>
      </c>
      <c r="D3" s="287" t="s">
        <v>225</v>
      </c>
      <c r="E3" s="287" t="s">
        <v>226</v>
      </c>
      <c r="F3" s="287" t="s">
        <v>225</v>
      </c>
      <c r="G3" s="287" t="s">
        <v>226</v>
      </c>
      <c r="H3" s="287" t="s">
        <v>225</v>
      </c>
      <c r="I3" s="286" t="s">
        <v>225</v>
      </c>
      <c r="J3" s="286" t="s">
        <v>226</v>
      </c>
      <c r="K3" s="286" t="s">
        <v>225</v>
      </c>
      <c r="L3" s="286" t="s">
        <v>226</v>
      </c>
      <c r="M3" s="286" t="s">
        <v>225</v>
      </c>
      <c r="N3" s="286" t="s">
        <v>226</v>
      </c>
      <c r="O3" s="286" t="s">
        <v>225</v>
      </c>
      <c r="P3" s="287" t="s">
        <v>225</v>
      </c>
      <c r="Q3" s="287" t="s">
        <v>226</v>
      </c>
      <c r="R3" s="287" t="s">
        <v>225</v>
      </c>
      <c r="S3" s="287" t="s">
        <v>225</v>
      </c>
      <c r="T3" s="287" t="s">
        <v>226</v>
      </c>
      <c r="U3" s="287" t="s">
        <v>225</v>
      </c>
      <c r="V3" s="287" t="s">
        <v>226</v>
      </c>
      <c r="W3" s="287" t="s">
        <v>225</v>
      </c>
      <c r="X3" s="287" t="s">
        <v>226</v>
      </c>
      <c r="Y3" s="287" t="s">
        <v>225</v>
      </c>
      <c r="Z3" s="287" t="s">
        <v>225</v>
      </c>
      <c r="AA3" s="286" t="s">
        <v>225</v>
      </c>
      <c r="AB3" s="286" t="s">
        <v>226</v>
      </c>
      <c r="AC3" s="286" t="s">
        <v>225</v>
      </c>
      <c r="AD3" s="286" t="s">
        <v>226</v>
      </c>
      <c r="AE3" s="286" t="s">
        <v>225</v>
      </c>
      <c r="AF3" s="286" t="s">
        <v>226</v>
      </c>
      <c r="AG3" s="286" t="s">
        <v>225</v>
      </c>
      <c r="AH3" s="286" t="s">
        <v>226</v>
      </c>
      <c r="AI3" s="286" t="s">
        <v>225</v>
      </c>
      <c r="AJ3" s="286" t="s">
        <v>226</v>
      </c>
      <c r="AK3" s="286" t="s">
        <v>225</v>
      </c>
      <c r="AL3" s="286" t="s">
        <v>225</v>
      </c>
      <c r="AM3" s="286" t="s">
        <v>225</v>
      </c>
      <c r="AN3" s="287" t="s">
        <v>225</v>
      </c>
      <c r="AO3" s="287" t="s">
        <v>226</v>
      </c>
      <c r="AP3" s="287" t="s">
        <v>225</v>
      </c>
      <c r="AQ3" s="287" t="s">
        <v>226</v>
      </c>
      <c r="AR3" s="287" t="s">
        <v>225</v>
      </c>
      <c r="AS3" s="287" t="s">
        <v>226</v>
      </c>
      <c r="AT3" s="287" t="s">
        <v>225</v>
      </c>
      <c r="AU3" s="287" t="s">
        <v>226</v>
      </c>
      <c r="AV3" s="287" t="s">
        <v>225</v>
      </c>
      <c r="AW3" s="287" t="s">
        <v>226</v>
      </c>
      <c r="AX3" s="287" t="s">
        <v>225</v>
      </c>
      <c r="AY3" s="287" t="s">
        <v>226</v>
      </c>
      <c r="AZ3" s="287" t="s">
        <v>225</v>
      </c>
      <c r="BA3" s="287" t="s">
        <v>225</v>
      </c>
      <c r="BB3" s="287" t="s">
        <v>225</v>
      </c>
      <c r="BC3" s="286" t="s">
        <v>225</v>
      </c>
      <c r="BD3" s="286" t="s">
        <v>226</v>
      </c>
      <c r="BE3" s="286" t="s">
        <v>225</v>
      </c>
      <c r="BF3" s="286" t="s">
        <v>226</v>
      </c>
      <c r="BG3" s="286" t="s">
        <v>225</v>
      </c>
      <c r="BH3" s="286" t="s">
        <v>226</v>
      </c>
      <c r="BI3" s="286" t="s">
        <v>225</v>
      </c>
      <c r="BJ3" s="286" t="s">
        <v>226</v>
      </c>
      <c r="BK3" s="286" t="s">
        <v>225</v>
      </c>
      <c r="BL3" s="286" t="s">
        <v>226</v>
      </c>
      <c r="BM3" s="286" t="s">
        <v>225</v>
      </c>
      <c r="BN3" s="288" t="s">
        <v>225</v>
      </c>
      <c r="BO3" s="266" t="s">
        <v>225</v>
      </c>
      <c r="BP3" s="287" t="s">
        <v>225</v>
      </c>
      <c r="BQ3" s="287" t="s">
        <v>226</v>
      </c>
      <c r="BR3" s="287" t="s">
        <v>225</v>
      </c>
      <c r="BS3" s="287" t="s">
        <v>226</v>
      </c>
      <c r="BT3" s="287" t="s">
        <v>225</v>
      </c>
      <c r="BU3" s="287" t="s">
        <v>226</v>
      </c>
      <c r="BV3" s="287" t="s">
        <v>225</v>
      </c>
      <c r="BW3" s="286" t="s">
        <v>225</v>
      </c>
      <c r="BX3" s="286" t="s">
        <v>226</v>
      </c>
      <c r="BY3" s="286" t="s">
        <v>225</v>
      </c>
      <c r="BZ3" s="286" t="s">
        <v>226</v>
      </c>
      <c r="CA3" s="286" t="s">
        <v>225</v>
      </c>
      <c r="CB3" s="286" t="s">
        <v>226</v>
      </c>
      <c r="CC3" s="286" t="s">
        <v>225</v>
      </c>
      <c r="CD3" s="287" t="s">
        <v>225</v>
      </c>
      <c r="CE3" s="287" t="s">
        <v>226</v>
      </c>
      <c r="CF3" s="287" t="s">
        <v>225</v>
      </c>
      <c r="CG3" s="287" t="s">
        <v>225</v>
      </c>
      <c r="CH3" s="287" t="s">
        <v>226</v>
      </c>
      <c r="CI3" s="287" t="s">
        <v>225</v>
      </c>
      <c r="CJ3" s="287" t="s">
        <v>226</v>
      </c>
      <c r="CK3" s="287" t="s">
        <v>225</v>
      </c>
      <c r="CL3" s="287" t="s">
        <v>226</v>
      </c>
      <c r="CM3" s="287" t="s">
        <v>225</v>
      </c>
      <c r="CN3" s="287" t="s">
        <v>225</v>
      </c>
      <c r="CO3" s="286" t="s">
        <v>225</v>
      </c>
      <c r="CP3" s="286" t="s">
        <v>226</v>
      </c>
      <c r="CQ3" s="286" t="s">
        <v>225</v>
      </c>
      <c r="CR3" s="286" t="s">
        <v>226</v>
      </c>
      <c r="CS3" s="286" t="s">
        <v>225</v>
      </c>
      <c r="CT3" s="286" t="s">
        <v>226</v>
      </c>
      <c r="CU3" s="286" t="s">
        <v>225</v>
      </c>
      <c r="CV3" s="286" t="s">
        <v>226</v>
      </c>
      <c r="CW3" s="286" t="s">
        <v>225</v>
      </c>
      <c r="CX3" s="286" t="s">
        <v>225</v>
      </c>
      <c r="CY3" s="286" t="s">
        <v>225</v>
      </c>
      <c r="CZ3" s="287" t="s">
        <v>225</v>
      </c>
      <c r="DA3" s="287" t="s">
        <v>226</v>
      </c>
      <c r="DB3" s="287" t="s">
        <v>225</v>
      </c>
      <c r="DC3" s="287" t="s">
        <v>226</v>
      </c>
      <c r="DD3" s="287" t="s">
        <v>225</v>
      </c>
      <c r="DE3" s="287" t="s">
        <v>226</v>
      </c>
      <c r="DF3" s="287" t="s">
        <v>225</v>
      </c>
      <c r="DG3" s="287" t="s">
        <v>226</v>
      </c>
      <c r="DH3" s="287" t="s">
        <v>225</v>
      </c>
      <c r="DI3" s="287" t="s">
        <v>225</v>
      </c>
      <c r="DJ3" s="287" t="s">
        <v>225</v>
      </c>
      <c r="DK3" s="286" t="s">
        <v>225</v>
      </c>
      <c r="DL3" s="286" t="s">
        <v>226</v>
      </c>
      <c r="DM3" s="286" t="s">
        <v>225</v>
      </c>
      <c r="DN3" s="286" t="s">
        <v>226</v>
      </c>
      <c r="DO3" s="286" t="s">
        <v>225</v>
      </c>
      <c r="DP3" s="286" t="s">
        <v>226</v>
      </c>
      <c r="DQ3" s="286" t="s">
        <v>225</v>
      </c>
      <c r="DR3" s="286" t="s">
        <v>226</v>
      </c>
      <c r="DS3" s="286" t="s">
        <v>225</v>
      </c>
      <c r="DT3" s="288" t="s">
        <v>225</v>
      </c>
      <c r="DU3" s="266" t="s">
        <v>225</v>
      </c>
      <c r="DV3" s="69"/>
      <c r="DW3" s="265"/>
      <c r="DX3" s="265" t="s">
        <v>225</v>
      </c>
      <c r="DY3" s="265" t="s">
        <v>226</v>
      </c>
      <c r="DZ3" s="265" t="s">
        <v>225</v>
      </c>
      <c r="EA3" s="265" t="s">
        <v>226</v>
      </c>
      <c r="EB3" s="279"/>
      <c r="EC3" s="282" t="s">
        <v>225</v>
      </c>
      <c r="ED3" s="266" t="s">
        <v>226</v>
      </c>
      <c r="EE3" s="265" t="s">
        <v>225</v>
      </c>
      <c r="EF3" s="265" t="s">
        <v>226</v>
      </c>
      <c r="EG3" s="266" t="s">
        <v>225</v>
      </c>
      <c r="EH3" s="266" t="s">
        <v>226</v>
      </c>
      <c r="EI3" s="265" t="s">
        <v>225</v>
      </c>
      <c r="EJ3" s="265" t="s">
        <v>226</v>
      </c>
      <c r="EK3" s="279"/>
      <c r="EL3" s="283" t="s">
        <v>225</v>
      </c>
      <c r="EM3" s="266" t="s">
        <v>226</v>
      </c>
      <c r="EN3" s="266" t="s">
        <v>225</v>
      </c>
      <c r="EO3" s="266" t="s">
        <v>226</v>
      </c>
    </row>
    <row r="4" spans="1:145" ht="41.35">
      <c r="A4" s="293" t="s">
        <v>373</v>
      </c>
      <c r="B4" s="290">
        <v>68</v>
      </c>
      <c r="C4" s="290">
        <v>54</v>
      </c>
      <c r="D4" s="290">
        <v>66</v>
      </c>
      <c r="E4" s="290">
        <v>99</v>
      </c>
      <c r="F4" s="290">
        <v>81</v>
      </c>
      <c r="G4" s="290">
        <v>22</v>
      </c>
      <c r="H4" s="290">
        <v>66</v>
      </c>
      <c r="I4" s="291">
        <v>76</v>
      </c>
      <c r="J4" s="291">
        <v>50</v>
      </c>
      <c r="K4" s="291">
        <v>73</v>
      </c>
      <c r="L4" s="291">
        <v>87</v>
      </c>
      <c r="M4" s="291">
        <v>77</v>
      </c>
      <c r="N4" s="291">
        <v>24</v>
      </c>
      <c r="O4" s="291">
        <v>67</v>
      </c>
      <c r="P4" s="290">
        <v>67</v>
      </c>
      <c r="Q4" s="290">
        <v>36</v>
      </c>
      <c r="R4" s="290">
        <v>47</v>
      </c>
      <c r="S4" s="290">
        <v>77</v>
      </c>
      <c r="T4" s="290">
        <v>50</v>
      </c>
      <c r="U4" s="290">
        <v>67</v>
      </c>
      <c r="V4" s="290">
        <v>97</v>
      </c>
      <c r="W4" s="290">
        <v>60</v>
      </c>
      <c r="X4" s="290">
        <v>19</v>
      </c>
      <c r="Y4" s="290">
        <v>64</v>
      </c>
      <c r="Z4" s="290">
        <v>88</v>
      </c>
      <c r="AA4" s="291">
        <v>63</v>
      </c>
      <c r="AB4" s="291">
        <v>38</v>
      </c>
      <c r="AC4" s="291">
        <v>58</v>
      </c>
      <c r="AD4" s="291">
        <v>61</v>
      </c>
      <c r="AE4" s="286">
        <v>0</v>
      </c>
      <c r="AF4" s="286">
        <v>0</v>
      </c>
      <c r="AG4" s="291">
        <v>45</v>
      </c>
      <c r="AH4" s="291">
        <v>16</v>
      </c>
      <c r="AI4" s="291">
        <v>45</v>
      </c>
      <c r="AJ4" s="291">
        <v>16</v>
      </c>
      <c r="AK4" s="291">
        <v>58</v>
      </c>
      <c r="AL4" s="291">
        <v>33</v>
      </c>
      <c r="AM4" s="291">
        <v>65</v>
      </c>
      <c r="AN4" s="290">
        <v>57</v>
      </c>
      <c r="AO4" s="290">
        <v>38</v>
      </c>
      <c r="AP4" s="290">
        <v>58</v>
      </c>
      <c r="AQ4" s="290">
        <v>63</v>
      </c>
      <c r="AR4" s="287">
        <v>0</v>
      </c>
      <c r="AS4" s="287">
        <v>0</v>
      </c>
      <c r="AT4" s="290">
        <v>53</v>
      </c>
      <c r="AU4" s="290">
        <v>14</v>
      </c>
      <c r="AV4" s="287">
        <v>0</v>
      </c>
      <c r="AW4" s="287">
        <v>0</v>
      </c>
      <c r="AX4" s="290">
        <v>49</v>
      </c>
      <c r="AY4" s="290">
        <v>22</v>
      </c>
      <c r="AZ4" s="290">
        <v>67</v>
      </c>
      <c r="BA4" s="290">
        <v>40</v>
      </c>
      <c r="BB4" s="290">
        <v>67</v>
      </c>
      <c r="BC4" s="291">
        <v>52</v>
      </c>
      <c r="BD4" s="291">
        <v>33</v>
      </c>
      <c r="BE4" s="291">
        <v>50</v>
      </c>
      <c r="BF4" s="291">
        <v>49</v>
      </c>
      <c r="BG4" s="286">
        <v>0</v>
      </c>
      <c r="BH4" s="286">
        <v>0</v>
      </c>
      <c r="BI4" s="291">
        <v>48</v>
      </c>
      <c r="BJ4" s="291">
        <v>14</v>
      </c>
      <c r="BK4" s="291">
        <v>42</v>
      </c>
      <c r="BL4" s="291">
        <v>18</v>
      </c>
      <c r="BM4" s="291">
        <v>60</v>
      </c>
      <c r="BN4" s="292">
        <v>30</v>
      </c>
      <c r="BO4" s="268">
        <v>70</v>
      </c>
      <c r="BP4" s="290">
        <v>7</v>
      </c>
      <c r="BQ4" s="290">
        <v>5</v>
      </c>
      <c r="BR4" s="290">
        <v>6</v>
      </c>
      <c r="BS4" s="290">
        <v>10</v>
      </c>
      <c r="BT4" s="290">
        <v>8</v>
      </c>
      <c r="BU4" s="290">
        <v>2</v>
      </c>
      <c r="BV4" s="290">
        <v>6</v>
      </c>
      <c r="BW4" s="291">
        <v>7</v>
      </c>
      <c r="BX4" s="291">
        <v>5</v>
      </c>
      <c r="BY4" s="291">
        <v>7</v>
      </c>
      <c r="BZ4" s="291">
        <v>8</v>
      </c>
      <c r="CA4" s="291">
        <v>7</v>
      </c>
      <c r="CB4" s="291">
        <v>2</v>
      </c>
      <c r="CC4" s="291">
        <v>7</v>
      </c>
      <c r="CD4" s="290">
        <v>7</v>
      </c>
      <c r="CE4" s="290">
        <v>3</v>
      </c>
      <c r="CF4" s="290">
        <v>4</v>
      </c>
      <c r="CG4" s="290">
        <v>7</v>
      </c>
      <c r="CH4" s="290">
        <v>5</v>
      </c>
      <c r="CI4" s="290">
        <v>7</v>
      </c>
      <c r="CJ4" s="290">
        <v>9</v>
      </c>
      <c r="CK4" s="290">
        <v>6</v>
      </c>
      <c r="CL4" s="290">
        <v>2</v>
      </c>
      <c r="CM4" s="290">
        <v>6</v>
      </c>
      <c r="CN4" s="290">
        <v>8</v>
      </c>
      <c r="CO4" s="291">
        <v>0</v>
      </c>
      <c r="CP4" s="291">
        <v>9</v>
      </c>
      <c r="CQ4" s="291">
        <v>0</v>
      </c>
      <c r="CR4" s="291">
        <v>15</v>
      </c>
      <c r="CS4" s="291">
        <v>0</v>
      </c>
      <c r="CT4" s="291">
        <v>4</v>
      </c>
      <c r="CU4" s="291">
        <v>0</v>
      </c>
      <c r="CV4" s="291">
        <v>4</v>
      </c>
      <c r="CW4" s="291">
        <v>0</v>
      </c>
      <c r="CX4" s="291">
        <v>0</v>
      </c>
      <c r="CY4" s="291">
        <v>0</v>
      </c>
      <c r="CZ4" s="290">
        <v>0</v>
      </c>
      <c r="DA4" s="290">
        <v>9</v>
      </c>
      <c r="DB4" s="290">
        <v>0</v>
      </c>
      <c r="DC4" s="290">
        <v>16</v>
      </c>
      <c r="DD4" s="290">
        <v>0</v>
      </c>
      <c r="DE4" s="290">
        <v>3</v>
      </c>
      <c r="DF4" s="290">
        <v>0</v>
      </c>
      <c r="DG4" s="290">
        <v>5</v>
      </c>
      <c r="DH4" s="290">
        <v>0</v>
      </c>
      <c r="DI4" s="290">
        <v>0</v>
      </c>
      <c r="DJ4" s="290">
        <v>0</v>
      </c>
      <c r="DK4" s="291">
        <v>0</v>
      </c>
      <c r="DL4" s="291">
        <v>8</v>
      </c>
      <c r="DM4" s="291">
        <v>0</v>
      </c>
      <c r="DN4" s="291">
        <v>12</v>
      </c>
      <c r="DO4" s="291">
        <v>0</v>
      </c>
      <c r="DP4" s="291">
        <v>4</v>
      </c>
      <c r="DQ4" s="291">
        <v>0</v>
      </c>
      <c r="DR4" s="291">
        <v>4</v>
      </c>
      <c r="DS4" s="291">
        <v>0</v>
      </c>
      <c r="DT4" s="292">
        <v>0</v>
      </c>
      <c r="DU4" s="268">
        <v>0</v>
      </c>
      <c r="DV4" s="70"/>
      <c r="DW4" s="269" t="s">
        <v>128</v>
      </c>
      <c r="DX4" s="270">
        <v>56</v>
      </c>
      <c r="DY4" s="270">
        <v>30</v>
      </c>
      <c r="DZ4" s="270">
        <v>5</v>
      </c>
      <c r="EA4" s="270">
        <v>3</v>
      </c>
      <c r="EB4" s="273" t="s">
        <v>134</v>
      </c>
      <c r="EC4" s="273">
        <v>64</v>
      </c>
      <c r="ED4" s="273">
        <v>22</v>
      </c>
      <c r="EE4" s="270">
        <v>61</v>
      </c>
      <c r="EF4" s="270">
        <v>26</v>
      </c>
      <c r="EG4" s="273">
        <v>0</v>
      </c>
      <c r="EH4" s="273">
        <v>6</v>
      </c>
      <c r="EI4" s="270">
        <v>0</v>
      </c>
      <c r="EJ4" s="270">
        <v>7</v>
      </c>
      <c r="EK4" s="273" t="s">
        <v>134</v>
      </c>
      <c r="EL4" s="273">
        <v>54</v>
      </c>
      <c r="EM4" s="273">
        <v>28</v>
      </c>
      <c r="EN4" s="277">
        <v>0</v>
      </c>
      <c r="EO4" s="277">
        <v>7</v>
      </c>
    </row>
    <row r="5" spans="1:145" ht="41.35">
      <c r="A5" s="294" t="s">
        <v>114</v>
      </c>
      <c r="B5" s="290">
        <v>67</v>
      </c>
      <c r="C5" s="290">
        <v>43</v>
      </c>
      <c r="D5" s="290">
        <v>60</v>
      </c>
      <c r="E5" s="290">
        <v>116</v>
      </c>
      <c r="F5" s="290">
        <v>75</v>
      </c>
      <c r="G5" s="290">
        <v>25</v>
      </c>
      <c r="H5" s="290">
        <v>71</v>
      </c>
      <c r="I5" s="291">
        <v>63</v>
      </c>
      <c r="J5" s="291">
        <v>47</v>
      </c>
      <c r="K5" s="291">
        <v>71</v>
      </c>
      <c r="L5" s="291">
        <v>111</v>
      </c>
      <c r="M5" s="291">
        <v>75</v>
      </c>
      <c r="N5" s="291">
        <v>24</v>
      </c>
      <c r="O5" s="291">
        <v>74</v>
      </c>
      <c r="P5" s="290">
        <v>71</v>
      </c>
      <c r="Q5" s="290">
        <v>31</v>
      </c>
      <c r="R5" s="290">
        <v>48</v>
      </c>
      <c r="S5" s="290">
        <v>78</v>
      </c>
      <c r="T5" s="290">
        <v>43</v>
      </c>
      <c r="U5" s="290">
        <v>75</v>
      </c>
      <c r="V5" s="290">
        <v>99</v>
      </c>
      <c r="W5" s="290">
        <v>59</v>
      </c>
      <c r="X5" s="290">
        <v>17</v>
      </c>
      <c r="Y5" s="290">
        <v>80</v>
      </c>
      <c r="Z5" s="290">
        <v>78</v>
      </c>
      <c r="AA5" s="291">
        <v>63</v>
      </c>
      <c r="AB5" s="291">
        <v>34</v>
      </c>
      <c r="AC5" s="286">
        <v>62</v>
      </c>
      <c r="AD5" s="286">
        <v>64</v>
      </c>
      <c r="AE5" s="291">
        <v>0</v>
      </c>
      <c r="AF5" s="291">
        <v>0</v>
      </c>
      <c r="AG5" s="291">
        <v>45</v>
      </c>
      <c r="AH5" s="291">
        <v>14</v>
      </c>
      <c r="AI5" s="291">
        <v>37</v>
      </c>
      <c r="AJ5" s="291">
        <v>16</v>
      </c>
      <c r="AK5" s="291">
        <v>55</v>
      </c>
      <c r="AL5" s="291">
        <v>33</v>
      </c>
      <c r="AM5" s="291">
        <v>67</v>
      </c>
      <c r="AN5" s="290">
        <v>53</v>
      </c>
      <c r="AO5" s="290">
        <v>34</v>
      </c>
      <c r="AP5" s="290">
        <v>63</v>
      </c>
      <c r="AQ5" s="290">
        <v>76</v>
      </c>
      <c r="AR5" s="290">
        <v>0</v>
      </c>
      <c r="AS5" s="290">
        <v>0</v>
      </c>
      <c r="AT5" s="290">
        <v>53</v>
      </c>
      <c r="AU5" s="290">
        <v>14</v>
      </c>
      <c r="AV5" s="287">
        <v>0</v>
      </c>
      <c r="AW5" s="287">
        <v>0</v>
      </c>
      <c r="AX5" s="290">
        <v>48</v>
      </c>
      <c r="AY5" s="290">
        <v>18</v>
      </c>
      <c r="AZ5" s="290">
        <v>61</v>
      </c>
      <c r="BA5" s="290">
        <v>38</v>
      </c>
      <c r="BB5" s="290">
        <v>58</v>
      </c>
      <c r="BC5" s="291">
        <v>55</v>
      </c>
      <c r="BD5" s="291">
        <v>30</v>
      </c>
      <c r="BE5" s="286">
        <v>57</v>
      </c>
      <c r="BF5" s="286">
        <v>54</v>
      </c>
      <c r="BG5" s="291">
        <v>0</v>
      </c>
      <c r="BH5" s="291">
        <v>0</v>
      </c>
      <c r="BI5" s="291">
        <v>39</v>
      </c>
      <c r="BJ5" s="291">
        <v>9</v>
      </c>
      <c r="BK5" s="291">
        <v>35</v>
      </c>
      <c r="BL5" s="291">
        <v>14</v>
      </c>
      <c r="BM5" s="291">
        <v>52</v>
      </c>
      <c r="BN5" s="292">
        <v>31</v>
      </c>
      <c r="BO5" s="268">
        <v>77</v>
      </c>
      <c r="BP5" s="290">
        <v>6</v>
      </c>
      <c r="BQ5" s="290">
        <v>4</v>
      </c>
      <c r="BR5" s="290">
        <v>6</v>
      </c>
      <c r="BS5" s="290">
        <v>11</v>
      </c>
      <c r="BT5" s="290">
        <v>7</v>
      </c>
      <c r="BU5" s="290">
        <v>2</v>
      </c>
      <c r="BV5" s="290">
        <v>7</v>
      </c>
      <c r="BW5" s="291">
        <v>6</v>
      </c>
      <c r="BX5" s="291">
        <v>4</v>
      </c>
      <c r="BY5" s="291">
        <v>7</v>
      </c>
      <c r="BZ5" s="291">
        <v>11</v>
      </c>
      <c r="CA5" s="291">
        <v>7</v>
      </c>
      <c r="CB5" s="291">
        <v>2</v>
      </c>
      <c r="CC5" s="291">
        <v>7</v>
      </c>
      <c r="CD5" s="290">
        <v>7</v>
      </c>
      <c r="CE5" s="290">
        <v>3</v>
      </c>
      <c r="CF5" s="290">
        <v>5</v>
      </c>
      <c r="CG5" s="290">
        <v>8</v>
      </c>
      <c r="CH5" s="290">
        <v>4</v>
      </c>
      <c r="CI5" s="290">
        <v>7</v>
      </c>
      <c r="CJ5" s="290">
        <v>9</v>
      </c>
      <c r="CK5" s="290">
        <v>6</v>
      </c>
      <c r="CL5" s="290">
        <v>2</v>
      </c>
      <c r="CM5" s="290">
        <v>8</v>
      </c>
      <c r="CN5" s="290">
        <v>8</v>
      </c>
      <c r="CO5" s="291">
        <v>0</v>
      </c>
      <c r="CP5" s="291">
        <v>9</v>
      </c>
      <c r="CQ5" s="291">
        <v>0</v>
      </c>
      <c r="CR5" s="291">
        <v>16</v>
      </c>
      <c r="CS5" s="291">
        <v>0</v>
      </c>
      <c r="CT5" s="291">
        <v>3</v>
      </c>
      <c r="CU5" s="291">
        <v>0</v>
      </c>
      <c r="CV5" s="291">
        <v>4</v>
      </c>
      <c r="CW5" s="291">
        <v>0</v>
      </c>
      <c r="CX5" s="291">
        <v>0</v>
      </c>
      <c r="CY5" s="291">
        <v>0</v>
      </c>
      <c r="CZ5" s="290">
        <v>0</v>
      </c>
      <c r="DA5" s="290">
        <v>8</v>
      </c>
      <c r="DB5" s="290">
        <v>0</v>
      </c>
      <c r="DC5" s="290">
        <v>19</v>
      </c>
      <c r="DD5" s="290">
        <v>0</v>
      </c>
      <c r="DE5" s="290">
        <v>3</v>
      </c>
      <c r="DF5" s="290">
        <v>0</v>
      </c>
      <c r="DG5" s="290">
        <v>5</v>
      </c>
      <c r="DH5" s="290">
        <v>0</v>
      </c>
      <c r="DI5" s="290">
        <v>0</v>
      </c>
      <c r="DJ5" s="290">
        <v>0</v>
      </c>
      <c r="DK5" s="291">
        <v>0</v>
      </c>
      <c r="DL5" s="291">
        <v>8</v>
      </c>
      <c r="DM5" s="291">
        <v>0</v>
      </c>
      <c r="DN5" s="291">
        <v>13</v>
      </c>
      <c r="DO5" s="291">
        <v>0</v>
      </c>
      <c r="DP5" s="291">
        <v>2</v>
      </c>
      <c r="DQ5" s="291">
        <v>0</v>
      </c>
      <c r="DR5" s="291">
        <v>4</v>
      </c>
      <c r="DS5" s="291">
        <v>0</v>
      </c>
      <c r="DT5" s="292">
        <v>0</v>
      </c>
      <c r="DU5" s="268">
        <v>0</v>
      </c>
      <c r="DV5" s="70"/>
      <c r="DW5" s="270" t="s">
        <v>129</v>
      </c>
      <c r="DX5" s="270">
        <v>62</v>
      </c>
      <c r="DY5" s="270">
        <v>25</v>
      </c>
      <c r="DZ5" s="270">
        <v>6</v>
      </c>
      <c r="EA5" s="270">
        <v>2</v>
      </c>
      <c r="EB5" s="273" t="s">
        <v>135</v>
      </c>
      <c r="EC5" s="273">
        <v>50</v>
      </c>
      <c r="ED5" s="274">
        <v>20</v>
      </c>
      <c r="EE5" s="270">
        <v>50</v>
      </c>
      <c r="EF5" s="270">
        <v>22</v>
      </c>
      <c r="EG5" s="273">
        <v>0</v>
      </c>
      <c r="EH5" s="273">
        <v>5</v>
      </c>
      <c r="EI5" s="270">
        <v>0</v>
      </c>
      <c r="EJ5" s="270">
        <v>5</v>
      </c>
      <c r="EK5" s="275" t="s">
        <v>136</v>
      </c>
      <c r="EL5" s="273">
        <v>47</v>
      </c>
      <c r="EM5" s="273">
        <v>22</v>
      </c>
      <c r="EN5" s="277">
        <v>0</v>
      </c>
      <c r="EO5" s="277">
        <v>6</v>
      </c>
    </row>
    <row r="6" spans="1:145" ht="41.35">
      <c r="A6" s="294" t="s">
        <v>115</v>
      </c>
      <c r="B6" s="267">
        <v>69</v>
      </c>
      <c r="C6" s="267">
        <v>39</v>
      </c>
      <c r="D6" s="267">
        <v>64</v>
      </c>
      <c r="E6" s="267">
        <v>102</v>
      </c>
      <c r="F6" s="295">
        <v>87</v>
      </c>
      <c r="G6" s="290">
        <v>26</v>
      </c>
      <c r="H6" s="290">
        <v>69</v>
      </c>
      <c r="I6" s="291">
        <v>72</v>
      </c>
      <c r="J6" s="291">
        <v>43</v>
      </c>
      <c r="K6" s="291">
        <v>67</v>
      </c>
      <c r="L6" s="291">
        <v>105</v>
      </c>
      <c r="M6" s="291">
        <v>82</v>
      </c>
      <c r="N6" s="291">
        <v>21</v>
      </c>
      <c r="O6" s="291">
        <v>66</v>
      </c>
      <c r="P6" s="290">
        <v>62</v>
      </c>
      <c r="Q6" s="290">
        <v>28</v>
      </c>
      <c r="R6" s="290">
        <v>37</v>
      </c>
      <c r="S6" s="290">
        <v>81</v>
      </c>
      <c r="T6" s="290">
        <v>43</v>
      </c>
      <c r="U6" s="290">
        <v>78</v>
      </c>
      <c r="V6" s="290">
        <v>109</v>
      </c>
      <c r="W6" s="290">
        <v>50</v>
      </c>
      <c r="X6" s="290">
        <v>16</v>
      </c>
      <c r="Y6" s="290">
        <v>75</v>
      </c>
      <c r="Z6" s="287">
        <v>0</v>
      </c>
      <c r="AA6" s="291">
        <v>63</v>
      </c>
      <c r="AB6" s="291">
        <v>36</v>
      </c>
      <c r="AC6" s="291">
        <v>60</v>
      </c>
      <c r="AD6" s="291">
        <v>46</v>
      </c>
      <c r="AE6" s="286">
        <v>0</v>
      </c>
      <c r="AF6" s="286">
        <v>0</v>
      </c>
      <c r="AG6" s="291">
        <v>48</v>
      </c>
      <c r="AH6" s="291">
        <v>13</v>
      </c>
      <c r="AI6" s="291">
        <v>43</v>
      </c>
      <c r="AJ6" s="291">
        <v>18</v>
      </c>
      <c r="AK6" s="291">
        <v>43</v>
      </c>
      <c r="AL6" s="291">
        <v>27</v>
      </c>
      <c r="AM6" s="291">
        <v>59</v>
      </c>
      <c r="AN6" s="290">
        <v>58</v>
      </c>
      <c r="AO6" s="290">
        <v>36</v>
      </c>
      <c r="AP6" s="290">
        <v>62</v>
      </c>
      <c r="AQ6" s="290">
        <v>66</v>
      </c>
      <c r="AR6" s="287">
        <v>0</v>
      </c>
      <c r="AS6" s="287">
        <v>0</v>
      </c>
      <c r="AT6" s="290">
        <v>63</v>
      </c>
      <c r="AU6" s="290">
        <v>14</v>
      </c>
      <c r="AV6" s="290">
        <v>0</v>
      </c>
      <c r="AW6" s="290">
        <v>0</v>
      </c>
      <c r="AX6" s="290">
        <v>43</v>
      </c>
      <c r="AY6" s="290">
        <v>22</v>
      </c>
      <c r="AZ6" s="290">
        <v>47</v>
      </c>
      <c r="BA6" s="290">
        <v>30</v>
      </c>
      <c r="BB6" s="290">
        <v>59</v>
      </c>
      <c r="BC6" s="291">
        <v>50</v>
      </c>
      <c r="BD6" s="291">
        <v>30</v>
      </c>
      <c r="BE6" s="291">
        <v>47</v>
      </c>
      <c r="BF6" s="291">
        <v>34</v>
      </c>
      <c r="BG6" s="286">
        <v>0</v>
      </c>
      <c r="BH6" s="286">
        <v>0</v>
      </c>
      <c r="BI6" s="291">
        <v>43</v>
      </c>
      <c r="BJ6" s="291">
        <v>14</v>
      </c>
      <c r="BK6" s="291">
        <v>38</v>
      </c>
      <c r="BL6" s="291">
        <v>14</v>
      </c>
      <c r="BM6" s="291">
        <v>43</v>
      </c>
      <c r="BN6" s="292">
        <v>27</v>
      </c>
      <c r="BO6" s="268">
        <v>59</v>
      </c>
      <c r="BP6" s="267">
        <v>7</v>
      </c>
      <c r="BQ6" s="267">
        <v>4</v>
      </c>
      <c r="BR6" s="267">
        <v>6</v>
      </c>
      <c r="BS6" s="267">
        <v>10</v>
      </c>
      <c r="BT6" s="295">
        <v>8</v>
      </c>
      <c r="BU6" s="290">
        <v>2</v>
      </c>
      <c r="BV6" s="290">
        <v>7</v>
      </c>
      <c r="BW6" s="291">
        <v>7</v>
      </c>
      <c r="BX6" s="291">
        <v>4</v>
      </c>
      <c r="BY6" s="291">
        <v>6</v>
      </c>
      <c r="BZ6" s="291">
        <v>10</v>
      </c>
      <c r="CA6" s="291">
        <v>8</v>
      </c>
      <c r="CB6" s="291">
        <v>2</v>
      </c>
      <c r="CC6" s="291">
        <v>6</v>
      </c>
      <c r="CD6" s="290">
        <v>6</v>
      </c>
      <c r="CE6" s="290">
        <v>3</v>
      </c>
      <c r="CF6" s="290">
        <v>4</v>
      </c>
      <c r="CG6" s="290">
        <v>8</v>
      </c>
      <c r="CH6" s="290">
        <v>4</v>
      </c>
      <c r="CI6" s="290">
        <v>8</v>
      </c>
      <c r="CJ6" s="290">
        <v>10</v>
      </c>
      <c r="CK6" s="290">
        <v>5</v>
      </c>
      <c r="CL6" s="290">
        <v>2</v>
      </c>
      <c r="CM6" s="290">
        <v>7</v>
      </c>
      <c r="CN6" s="287">
        <v>0</v>
      </c>
      <c r="CO6" s="291">
        <v>0</v>
      </c>
      <c r="CP6" s="291">
        <v>9</v>
      </c>
      <c r="CQ6" s="291">
        <v>0</v>
      </c>
      <c r="CR6" s="291">
        <v>12</v>
      </c>
      <c r="CS6" s="291">
        <v>0</v>
      </c>
      <c r="CT6" s="291">
        <v>3</v>
      </c>
      <c r="CU6" s="291">
        <v>0</v>
      </c>
      <c r="CV6" s="291">
        <v>4</v>
      </c>
      <c r="CW6" s="291">
        <v>0</v>
      </c>
      <c r="CX6" s="291">
        <v>0</v>
      </c>
      <c r="CY6" s="291">
        <v>0</v>
      </c>
      <c r="CZ6" s="290">
        <v>0</v>
      </c>
      <c r="DA6" s="290">
        <v>9</v>
      </c>
      <c r="DB6" s="290">
        <v>0</v>
      </c>
      <c r="DC6" s="290">
        <v>17</v>
      </c>
      <c r="DD6" s="290">
        <v>0</v>
      </c>
      <c r="DE6" s="290">
        <v>4</v>
      </c>
      <c r="DF6" s="290">
        <v>0</v>
      </c>
      <c r="DG6" s="290">
        <v>5</v>
      </c>
      <c r="DH6" s="290">
        <v>0</v>
      </c>
      <c r="DI6" s="290">
        <v>0</v>
      </c>
      <c r="DJ6" s="290">
        <v>0</v>
      </c>
      <c r="DK6" s="291">
        <v>0</v>
      </c>
      <c r="DL6" s="291">
        <v>7</v>
      </c>
      <c r="DM6" s="291">
        <v>0</v>
      </c>
      <c r="DN6" s="291">
        <v>9</v>
      </c>
      <c r="DO6" s="291">
        <v>0</v>
      </c>
      <c r="DP6" s="291">
        <v>3</v>
      </c>
      <c r="DQ6" s="291">
        <v>0</v>
      </c>
      <c r="DR6" s="291">
        <v>4</v>
      </c>
      <c r="DS6" s="291">
        <v>0</v>
      </c>
      <c r="DT6" s="292">
        <v>0</v>
      </c>
      <c r="DU6" s="268">
        <v>0</v>
      </c>
      <c r="DV6" s="70"/>
      <c r="DW6" s="269" t="s">
        <v>130</v>
      </c>
      <c r="DX6" s="270">
        <v>49</v>
      </c>
      <c r="DY6" s="270">
        <v>18</v>
      </c>
      <c r="DZ6" s="270">
        <v>3</v>
      </c>
      <c r="EA6" s="270">
        <v>4</v>
      </c>
      <c r="EB6" s="273" t="s">
        <v>133</v>
      </c>
      <c r="EC6" s="273">
        <v>50</v>
      </c>
      <c r="ED6" s="273">
        <v>26</v>
      </c>
      <c r="EE6" s="270">
        <v>50</v>
      </c>
      <c r="EF6" s="270">
        <v>20</v>
      </c>
      <c r="EG6" s="273">
        <v>0</v>
      </c>
      <c r="EH6" s="273">
        <v>6</v>
      </c>
      <c r="EI6" s="270">
        <v>0</v>
      </c>
      <c r="EJ6" s="270">
        <v>5</v>
      </c>
      <c r="EK6" s="276" t="s">
        <v>137</v>
      </c>
      <c r="EL6" s="273">
        <v>49</v>
      </c>
      <c r="EM6" s="274">
        <v>22</v>
      </c>
      <c r="EN6" s="277">
        <v>0</v>
      </c>
      <c r="EO6" s="277">
        <v>5</v>
      </c>
    </row>
    <row r="7" spans="1:145" ht="41.35">
      <c r="A7" s="296" t="s">
        <v>116</v>
      </c>
      <c r="B7" s="297">
        <v>0</v>
      </c>
      <c r="C7" s="297">
        <v>0</v>
      </c>
      <c r="D7" s="297">
        <v>0</v>
      </c>
      <c r="E7" s="297">
        <v>0</v>
      </c>
      <c r="F7" s="297">
        <v>0</v>
      </c>
      <c r="G7" s="297">
        <v>0</v>
      </c>
      <c r="H7" s="297">
        <v>0</v>
      </c>
      <c r="I7" s="298">
        <v>0</v>
      </c>
      <c r="J7" s="298">
        <v>0</v>
      </c>
      <c r="K7" s="298">
        <v>0</v>
      </c>
      <c r="L7" s="298">
        <v>0</v>
      </c>
      <c r="M7" s="298">
        <v>0</v>
      </c>
      <c r="N7" s="298">
        <v>0</v>
      </c>
      <c r="O7" s="298">
        <v>0</v>
      </c>
      <c r="P7" s="297">
        <v>0</v>
      </c>
      <c r="Q7" s="297">
        <v>0</v>
      </c>
      <c r="R7" s="297">
        <v>0</v>
      </c>
      <c r="S7" s="297">
        <v>0</v>
      </c>
      <c r="T7" s="297">
        <v>0</v>
      </c>
      <c r="U7" s="297">
        <v>0</v>
      </c>
      <c r="V7" s="297">
        <v>0</v>
      </c>
      <c r="W7" s="297">
        <v>0</v>
      </c>
      <c r="X7" s="297">
        <v>0</v>
      </c>
      <c r="Y7" s="297">
        <v>0</v>
      </c>
      <c r="Z7" s="297">
        <v>0</v>
      </c>
      <c r="AA7" s="298">
        <v>0</v>
      </c>
      <c r="AB7" s="298">
        <v>0</v>
      </c>
      <c r="AC7" s="298">
        <v>0</v>
      </c>
      <c r="AD7" s="298">
        <v>0</v>
      </c>
      <c r="AE7" s="298">
        <v>0</v>
      </c>
      <c r="AF7" s="298">
        <v>0</v>
      </c>
      <c r="AG7" s="298">
        <v>0</v>
      </c>
      <c r="AH7" s="298">
        <v>0</v>
      </c>
      <c r="AI7" s="298">
        <v>0</v>
      </c>
      <c r="AJ7" s="298">
        <v>0</v>
      </c>
      <c r="AK7" s="298">
        <v>0</v>
      </c>
      <c r="AL7" s="298">
        <v>0</v>
      </c>
      <c r="AM7" s="298">
        <v>0</v>
      </c>
      <c r="AN7" s="297">
        <v>0</v>
      </c>
      <c r="AO7" s="297">
        <v>0</v>
      </c>
      <c r="AP7" s="297">
        <v>0</v>
      </c>
      <c r="AQ7" s="297">
        <v>0</v>
      </c>
      <c r="AR7" s="297">
        <v>0</v>
      </c>
      <c r="AS7" s="297">
        <v>0</v>
      </c>
      <c r="AT7" s="297">
        <v>0</v>
      </c>
      <c r="AU7" s="297">
        <v>0</v>
      </c>
      <c r="AV7" s="297">
        <v>0</v>
      </c>
      <c r="AW7" s="297">
        <v>0</v>
      </c>
      <c r="AX7" s="297">
        <v>0</v>
      </c>
      <c r="AY7" s="297">
        <v>0</v>
      </c>
      <c r="AZ7" s="297">
        <v>0</v>
      </c>
      <c r="BA7" s="297">
        <v>0</v>
      </c>
      <c r="BB7" s="297">
        <v>0</v>
      </c>
      <c r="BC7" s="298">
        <v>0</v>
      </c>
      <c r="BD7" s="298">
        <v>0</v>
      </c>
      <c r="BE7" s="298">
        <v>0</v>
      </c>
      <c r="BF7" s="298">
        <v>0</v>
      </c>
      <c r="BG7" s="298">
        <v>0</v>
      </c>
      <c r="BH7" s="298">
        <v>0</v>
      </c>
      <c r="BI7" s="298">
        <v>0</v>
      </c>
      <c r="BJ7" s="298">
        <v>0</v>
      </c>
      <c r="BK7" s="298">
        <v>0</v>
      </c>
      <c r="BL7" s="298">
        <v>0</v>
      </c>
      <c r="BM7" s="298">
        <v>0</v>
      </c>
      <c r="BN7" s="266">
        <v>0</v>
      </c>
      <c r="BO7" s="266">
        <v>0</v>
      </c>
      <c r="BP7" s="297">
        <v>0</v>
      </c>
      <c r="BQ7" s="297">
        <v>0</v>
      </c>
      <c r="BR7" s="297">
        <v>0</v>
      </c>
      <c r="BS7" s="297">
        <v>0</v>
      </c>
      <c r="BT7" s="297">
        <v>0</v>
      </c>
      <c r="BU7" s="297">
        <v>0</v>
      </c>
      <c r="BV7" s="297">
        <v>0</v>
      </c>
      <c r="BW7" s="298">
        <v>0</v>
      </c>
      <c r="BX7" s="298">
        <v>0</v>
      </c>
      <c r="BY7" s="298">
        <v>0</v>
      </c>
      <c r="BZ7" s="298">
        <v>0</v>
      </c>
      <c r="CA7" s="298">
        <v>0</v>
      </c>
      <c r="CB7" s="298">
        <v>0</v>
      </c>
      <c r="CC7" s="298">
        <v>0</v>
      </c>
      <c r="CD7" s="297">
        <v>0</v>
      </c>
      <c r="CE7" s="297">
        <v>0</v>
      </c>
      <c r="CF7" s="297">
        <v>0</v>
      </c>
      <c r="CG7" s="297">
        <v>0</v>
      </c>
      <c r="CH7" s="297">
        <v>0</v>
      </c>
      <c r="CI7" s="297">
        <v>0</v>
      </c>
      <c r="CJ7" s="297">
        <v>0</v>
      </c>
      <c r="CK7" s="297">
        <v>0</v>
      </c>
      <c r="CL7" s="297">
        <v>0</v>
      </c>
      <c r="CM7" s="297">
        <v>0</v>
      </c>
      <c r="CN7" s="297">
        <v>0</v>
      </c>
      <c r="CO7" s="298">
        <v>0</v>
      </c>
      <c r="CP7" s="298">
        <v>0</v>
      </c>
      <c r="CQ7" s="298">
        <v>0</v>
      </c>
      <c r="CR7" s="298">
        <v>0</v>
      </c>
      <c r="CS7" s="298">
        <v>0</v>
      </c>
      <c r="CT7" s="298">
        <v>0</v>
      </c>
      <c r="CU7" s="298">
        <v>0</v>
      </c>
      <c r="CV7" s="298">
        <v>0</v>
      </c>
      <c r="CW7" s="298">
        <v>0</v>
      </c>
      <c r="CX7" s="298">
        <v>0</v>
      </c>
      <c r="CY7" s="298">
        <v>0</v>
      </c>
      <c r="CZ7" s="297">
        <v>0</v>
      </c>
      <c r="DA7" s="297">
        <v>0</v>
      </c>
      <c r="DB7" s="297">
        <v>0</v>
      </c>
      <c r="DC7" s="297">
        <v>0</v>
      </c>
      <c r="DD7" s="297">
        <v>0</v>
      </c>
      <c r="DE7" s="297">
        <v>0</v>
      </c>
      <c r="DF7" s="297">
        <v>0</v>
      </c>
      <c r="DG7" s="297">
        <v>0</v>
      </c>
      <c r="DH7" s="297">
        <v>0</v>
      </c>
      <c r="DI7" s="297">
        <v>0</v>
      </c>
      <c r="DJ7" s="297">
        <v>0</v>
      </c>
      <c r="DK7" s="298">
        <v>0</v>
      </c>
      <c r="DL7" s="298">
        <v>0</v>
      </c>
      <c r="DM7" s="298">
        <v>0</v>
      </c>
      <c r="DN7" s="298">
        <v>0</v>
      </c>
      <c r="DO7" s="298">
        <v>0</v>
      </c>
      <c r="DP7" s="298">
        <v>0</v>
      </c>
      <c r="DQ7" s="298">
        <v>0</v>
      </c>
      <c r="DR7" s="298">
        <v>0</v>
      </c>
      <c r="DS7" s="298">
        <v>0</v>
      </c>
      <c r="DT7" s="266">
        <v>0</v>
      </c>
      <c r="DU7" s="266">
        <v>0</v>
      </c>
      <c r="DV7" s="69"/>
      <c r="DW7" s="271" t="s">
        <v>116</v>
      </c>
      <c r="DX7" s="272">
        <v>0</v>
      </c>
      <c r="DY7" s="269">
        <v>0</v>
      </c>
      <c r="DZ7" s="269">
        <v>0</v>
      </c>
      <c r="EA7" s="269">
        <v>0</v>
      </c>
      <c r="EB7" s="273" t="s">
        <v>131</v>
      </c>
      <c r="EC7" s="273">
        <v>53</v>
      </c>
      <c r="ED7" s="273">
        <v>21</v>
      </c>
      <c r="EE7" s="270">
        <v>61</v>
      </c>
      <c r="EF7" s="270">
        <v>30</v>
      </c>
      <c r="EG7" s="273">
        <v>0</v>
      </c>
      <c r="EH7" s="273">
        <v>0</v>
      </c>
      <c r="EI7" s="270">
        <v>0</v>
      </c>
      <c r="EJ7" s="270">
        <v>0</v>
      </c>
      <c r="EK7" s="273" t="s">
        <v>131</v>
      </c>
      <c r="EL7" s="273">
        <v>52</v>
      </c>
      <c r="EM7" s="273">
        <v>24</v>
      </c>
      <c r="EN7" s="277">
        <v>0</v>
      </c>
      <c r="EO7" s="277">
        <v>0</v>
      </c>
    </row>
    <row r="8" spans="1:145" ht="41.35">
      <c r="A8" s="71">
        <v>1</v>
      </c>
      <c r="B8" s="71">
        <v>2</v>
      </c>
      <c r="C8" s="71">
        <v>3</v>
      </c>
      <c r="D8" s="71">
        <v>4</v>
      </c>
      <c r="E8" s="71">
        <v>5</v>
      </c>
      <c r="F8" s="71">
        <v>6</v>
      </c>
      <c r="G8" s="71">
        <v>7</v>
      </c>
      <c r="H8" s="71">
        <v>8</v>
      </c>
      <c r="I8" s="71">
        <v>9</v>
      </c>
      <c r="J8" s="71">
        <v>10</v>
      </c>
      <c r="K8" s="71">
        <v>11</v>
      </c>
      <c r="L8" s="71">
        <v>12</v>
      </c>
      <c r="M8" s="71">
        <v>13</v>
      </c>
      <c r="N8" s="71">
        <v>14</v>
      </c>
      <c r="O8" s="71">
        <v>15</v>
      </c>
      <c r="P8" s="71">
        <v>16</v>
      </c>
      <c r="Q8" s="71">
        <v>17</v>
      </c>
      <c r="R8" s="71">
        <v>18</v>
      </c>
      <c r="S8" s="71">
        <v>19</v>
      </c>
      <c r="T8" s="71">
        <v>20</v>
      </c>
      <c r="U8" s="71">
        <v>21</v>
      </c>
      <c r="V8" s="71">
        <v>22</v>
      </c>
      <c r="W8" s="71">
        <v>23</v>
      </c>
      <c r="X8" s="71">
        <v>24</v>
      </c>
      <c r="Y8" s="71">
        <v>25</v>
      </c>
      <c r="Z8" s="71">
        <v>26</v>
      </c>
      <c r="AA8" s="71">
        <v>27</v>
      </c>
      <c r="AB8" s="71">
        <v>28</v>
      </c>
      <c r="AC8" s="71">
        <v>29</v>
      </c>
      <c r="AD8" s="71">
        <v>30</v>
      </c>
      <c r="AE8" s="71">
        <v>31</v>
      </c>
      <c r="AF8" s="71">
        <v>32</v>
      </c>
      <c r="AG8" s="71">
        <v>33</v>
      </c>
      <c r="AH8" s="71">
        <v>34</v>
      </c>
      <c r="AI8" s="71">
        <v>35</v>
      </c>
      <c r="AJ8" s="71">
        <v>36</v>
      </c>
      <c r="AK8" s="71">
        <v>37</v>
      </c>
      <c r="AL8" s="71">
        <v>38</v>
      </c>
      <c r="AM8" s="71">
        <v>39</v>
      </c>
      <c r="AN8" s="71">
        <v>40</v>
      </c>
      <c r="AO8" s="71">
        <v>41</v>
      </c>
      <c r="AP8" s="71">
        <v>42</v>
      </c>
      <c r="AQ8" s="71">
        <v>43</v>
      </c>
      <c r="AR8" s="71">
        <v>44</v>
      </c>
      <c r="AS8" s="71">
        <v>45</v>
      </c>
      <c r="AT8" s="71">
        <v>46</v>
      </c>
      <c r="AU8" s="71">
        <v>47</v>
      </c>
      <c r="AV8" s="71">
        <v>48</v>
      </c>
      <c r="AW8" s="71">
        <v>49</v>
      </c>
      <c r="AX8" s="71">
        <v>50</v>
      </c>
      <c r="AY8" s="71">
        <v>51</v>
      </c>
      <c r="AZ8" s="71">
        <v>52</v>
      </c>
      <c r="BA8" s="71">
        <v>53</v>
      </c>
      <c r="BB8" s="71">
        <v>54</v>
      </c>
      <c r="BC8" s="71">
        <v>55</v>
      </c>
      <c r="BD8" s="71">
        <v>56</v>
      </c>
      <c r="BE8" s="71">
        <v>57</v>
      </c>
      <c r="BF8" s="71">
        <v>58</v>
      </c>
      <c r="BG8" s="71">
        <v>59</v>
      </c>
      <c r="BH8" s="71">
        <v>60</v>
      </c>
      <c r="BI8" s="71">
        <v>61</v>
      </c>
      <c r="BJ8" s="71">
        <v>62</v>
      </c>
      <c r="BK8" s="71">
        <v>63</v>
      </c>
      <c r="BL8" s="71">
        <v>64</v>
      </c>
      <c r="BM8" s="71">
        <v>65</v>
      </c>
      <c r="BN8" s="71">
        <v>66</v>
      </c>
      <c r="BO8" s="71">
        <v>67</v>
      </c>
      <c r="BP8" s="207">
        <v>68</v>
      </c>
      <c r="BQ8" s="207">
        <v>69</v>
      </c>
      <c r="BR8" s="207">
        <v>70</v>
      </c>
      <c r="BS8" s="207">
        <v>71</v>
      </c>
      <c r="BT8" s="207">
        <v>72</v>
      </c>
      <c r="BU8" s="207">
        <v>73</v>
      </c>
      <c r="BV8" s="207">
        <v>74</v>
      </c>
      <c r="BW8" s="207">
        <v>75</v>
      </c>
      <c r="BX8" s="207">
        <v>76</v>
      </c>
      <c r="BY8" s="207">
        <v>77</v>
      </c>
      <c r="BZ8" s="207">
        <v>78</v>
      </c>
      <c r="CA8" s="207">
        <v>79</v>
      </c>
      <c r="CB8" s="207">
        <v>80</v>
      </c>
      <c r="CC8" s="207">
        <v>81</v>
      </c>
      <c r="CD8" s="207">
        <v>82</v>
      </c>
      <c r="CE8" s="207">
        <v>83</v>
      </c>
      <c r="CF8" s="207">
        <v>84</v>
      </c>
      <c r="CG8" s="207">
        <v>85</v>
      </c>
      <c r="CH8" s="207">
        <v>86</v>
      </c>
      <c r="CI8" s="207">
        <v>87</v>
      </c>
      <c r="CJ8" s="207">
        <v>88</v>
      </c>
      <c r="CK8" s="207">
        <v>89</v>
      </c>
      <c r="CL8" s="207">
        <v>90</v>
      </c>
      <c r="CM8" s="207">
        <v>91</v>
      </c>
      <c r="CN8" s="207">
        <v>92</v>
      </c>
      <c r="CO8" s="207">
        <v>93</v>
      </c>
      <c r="CP8" s="207">
        <v>94</v>
      </c>
      <c r="CQ8" s="207">
        <v>95</v>
      </c>
      <c r="CR8" s="207">
        <v>96</v>
      </c>
      <c r="CS8" s="207">
        <v>97</v>
      </c>
      <c r="CT8" s="207">
        <v>98</v>
      </c>
      <c r="CU8" s="207">
        <v>99</v>
      </c>
      <c r="CV8" s="207">
        <v>100</v>
      </c>
      <c r="CW8" s="207">
        <v>101</v>
      </c>
      <c r="CX8" s="207">
        <v>102</v>
      </c>
      <c r="CY8" s="207">
        <v>103</v>
      </c>
      <c r="CZ8" s="207">
        <v>104</v>
      </c>
      <c r="DA8" s="207">
        <v>105</v>
      </c>
      <c r="DB8" s="207">
        <v>106</v>
      </c>
      <c r="DC8" s="207">
        <v>107</v>
      </c>
      <c r="DD8" s="207">
        <v>108</v>
      </c>
      <c r="DE8" s="207">
        <v>109</v>
      </c>
      <c r="DF8" s="207">
        <v>110</v>
      </c>
      <c r="DG8" s="207">
        <v>111</v>
      </c>
      <c r="DH8" s="207">
        <v>112</v>
      </c>
      <c r="DI8" s="207">
        <v>113</v>
      </c>
      <c r="DJ8" s="207">
        <v>114</v>
      </c>
      <c r="DK8" s="207">
        <v>115</v>
      </c>
      <c r="DL8" s="207">
        <v>116</v>
      </c>
      <c r="DM8" s="207">
        <v>117</v>
      </c>
      <c r="DN8" s="207">
        <v>118</v>
      </c>
      <c r="DO8" s="207">
        <v>119</v>
      </c>
      <c r="DP8" s="207">
        <v>120</v>
      </c>
      <c r="DQ8" s="207">
        <v>121</v>
      </c>
      <c r="DR8" s="207">
        <v>122</v>
      </c>
      <c r="DS8" s="207">
        <v>123</v>
      </c>
      <c r="DT8" s="207">
        <v>124</v>
      </c>
      <c r="DU8" s="207">
        <v>125</v>
      </c>
      <c r="DV8" s="71"/>
      <c r="DW8" s="71">
        <v>1</v>
      </c>
      <c r="DX8" s="71">
        <v>2</v>
      </c>
      <c r="DY8" s="71">
        <v>3</v>
      </c>
      <c r="DZ8" s="207">
        <v>4</v>
      </c>
      <c r="EA8" s="207">
        <v>5</v>
      </c>
      <c r="EB8" s="273" t="s">
        <v>132</v>
      </c>
      <c r="EC8" s="273">
        <v>50</v>
      </c>
      <c r="ED8" s="273">
        <v>20</v>
      </c>
      <c r="EE8" s="270">
        <v>50</v>
      </c>
      <c r="EF8" s="270">
        <v>20</v>
      </c>
      <c r="EG8" s="273">
        <v>0</v>
      </c>
      <c r="EH8" s="273">
        <v>0</v>
      </c>
      <c r="EI8" s="270">
        <v>0</v>
      </c>
      <c r="EJ8" s="270">
        <v>0</v>
      </c>
      <c r="EK8" s="273" t="s">
        <v>138</v>
      </c>
      <c r="EL8" s="273">
        <v>61</v>
      </c>
      <c r="EM8" s="273">
        <v>20</v>
      </c>
      <c r="EN8" s="277">
        <v>0</v>
      </c>
      <c r="EO8" s="277">
        <v>0</v>
      </c>
    </row>
    <row r="9" spans="1:145" ht="27.55">
      <c r="DZ9" s="206"/>
      <c r="EA9" s="206" t="s">
        <v>233</v>
      </c>
      <c r="EB9" s="273" t="s">
        <v>370</v>
      </c>
      <c r="EC9" s="273">
        <v>0</v>
      </c>
      <c r="ED9" s="273">
        <v>0</v>
      </c>
      <c r="EE9" s="270">
        <v>0</v>
      </c>
      <c r="EF9" s="270">
        <v>0</v>
      </c>
      <c r="EG9" s="273">
        <v>0</v>
      </c>
      <c r="EH9" s="273">
        <v>0</v>
      </c>
      <c r="EI9" s="270">
        <v>0</v>
      </c>
      <c r="EJ9" s="270">
        <v>0</v>
      </c>
      <c r="EK9" s="273" t="s">
        <v>139</v>
      </c>
      <c r="EL9" s="273">
        <v>43</v>
      </c>
      <c r="EM9" s="273">
        <v>20</v>
      </c>
      <c r="EN9" s="277">
        <v>0</v>
      </c>
      <c r="EO9" s="277">
        <v>0</v>
      </c>
    </row>
    <row r="10" spans="1:145" ht="14.4">
      <c r="EB10" s="71">
        <v>1</v>
      </c>
      <c r="EC10" s="71">
        <v>2</v>
      </c>
      <c r="ED10" s="71">
        <v>3</v>
      </c>
      <c r="EE10" s="71">
        <v>4</v>
      </c>
      <c r="EF10" s="71">
        <v>5</v>
      </c>
      <c r="EG10" s="207">
        <v>6</v>
      </c>
      <c r="EH10" s="207">
        <v>7</v>
      </c>
      <c r="EI10" s="207">
        <v>8</v>
      </c>
      <c r="EJ10" s="207">
        <v>9</v>
      </c>
      <c r="EK10" s="273" t="s">
        <v>370</v>
      </c>
      <c r="EL10" s="273">
        <v>0</v>
      </c>
      <c r="EM10" s="273">
        <v>0</v>
      </c>
      <c r="EN10" s="277">
        <v>0</v>
      </c>
      <c r="EO10" s="277">
        <v>0</v>
      </c>
    </row>
    <row r="11" spans="1:145" ht="14.4">
      <c r="EK11" s="71">
        <v>1</v>
      </c>
      <c r="EL11" s="71">
        <v>2</v>
      </c>
      <c r="EM11" s="71">
        <v>3</v>
      </c>
      <c r="EN11" s="207">
        <v>4</v>
      </c>
      <c r="EO11" s="207">
        <v>5</v>
      </c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"/>
  <sheetViews>
    <sheetView workbookViewId="0">
      <selection activeCell="B14" sqref="B14"/>
    </sheetView>
  </sheetViews>
  <sheetFormatPr defaultRowHeight="13.8"/>
  <cols>
    <col min="1" max="2" width="40.375" bestFit="1" customWidth="1"/>
  </cols>
  <sheetData>
    <row r="1" spans="1:2">
      <c r="A1" t="s">
        <v>11</v>
      </c>
      <c r="B1" t="s">
        <v>12</v>
      </c>
    </row>
    <row r="2" spans="1:2">
      <c r="A2" t="s">
        <v>13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6</vt:i4>
      </vt:variant>
      <vt:variant>
        <vt:lpstr>已命名的範圍</vt:lpstr>
      </vt:variant>
      <vt:variant>
        <vt:i4>6</vt:i4>
      </vt:variant>
    </vt:vector>
  </HeadingPairs>
  <TitlesOfParts>
    <vt:vector size="12" baseType="lpstr">
      <vt:lpstr>統計表</vt:lpstr>
      <vt:lpstr>AB表</vt:lpstr>
      <vt:lpstr>單價表</vt:lpstr>
      <vt:lpstr>試算表(參考用)</vt:lpstr>
      <vt:lpstr>工作表2</vt:lpstr>
      <vt:lpstr>抬頭</vt:lpstr>
      <vt:lpstr>統計表!Print_Area</vt:lpstr>
      <vt:lpstr>'試算表(參考用)'!Print_Titles</vt:lpstr>
      <vt:lpstr>三年級英語</vt:lpstr>
      <vt:lpstr>六年級英語</vt:lpstr>
      <vt:lpstr>四五年級英語</vt:lpstr>
      <vt:lpstr>版本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陳香茹</dc:creator>
  <cp:lastModifiedBy>USER</cp:lastModifiedBy>
  <cp:lastPrinted>2022-01-22T01:33:29Z</cp:lastPrinted>
  <dcterms:created xsi:type="dcterms:W3CDTF">2021-09-05T06:51:06Z</dcterms:created>
  <dcterms:modified xsi:type="dcterms:W3CDTF">2022-01-25T02:27:12Z</dcterms:modified>
</cp:coreProperties>
</file>